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NOODOVR\Documents\Privat\Aksjer\"/>
    </mc:Choice>
  </mc:AlternateContent>
  <xr:revisionPtr revIDLastSave="0" documentId="8_{C0576E47-1473-4FCC-A5CB-05E466CE9D9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stimat" sheetId="1" r:id="rId1"/>
    <sheet name="Oljepris" sheetId="2" r:id="rId2"/>
    <sheet name="Kurdistan" sheetId="3" r:id="rId3"/>
    <sheet name="Norge-UK" sheetId="7" r:id="rId4"/>
    <sheet name="Grafer NorgeUK" sheetId="9" r:id="rId5"/>
    <sheet name="Kurstrend" sheetId="5" r:id="rId6"/>
    <sheet name="Produksjonstrend" sheetId="6" r:id="rId7"/>
    <sheet name="Lisenser Norge-UK" sheetId="8" r:id="rId8"/>
    <sheet name="Oman" sheetId="4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4" i="2" l="1"/>
  <c r="X52" i="1" l="1"/>
  <c r="I52" i="1" l="1"/>
  <c r="H52" i="1"/>
  <c r="C52" i="1"/>
  <c r="V52" i="1" s="1"/>
  <c r="AD52" i="7" l="1"/>
  <c r="O51" i="1" l="1"/>
  <c r="I51" i="1" l="1"/>
  <c r="N45" i="1" l="1"/>
  <c r="N42" i="1"/>
  <c r="H53" i="3"/>
  <c r="H54" i="3" s="1"/>
  <c r="H55" i="3" s="1"/>
  <c r="H56" i="3" s="1"/>
  <c r="H57" i="3" s="1"/>
  <c r="H58" i="3" s="1"/>
  <c r="H59" i="3" s="1"/>
  <c r="H60" i="3" s="1"/>
  <c r="H61" i="3" s="1"/>
  <c r="H62" i="3" s="1"/>
  <c r="H63" i="3" s="1"/>
  <c r="H64" i="3" s="1"/>
  <c r="H65" i="3" s="1"/>
  <c r="H66" i="3" s="1"/>
  <c r="H67" i="3" s="1"/>
  <c r="H68" i="3" s="1"/>
  <c r="H69" i="3" s="1"/>
  <c r="H70" i="3" s="1"/>
  <c r="H71" i="3" s="1"/>
  <c r="H72" i="3" s="1"/>
  <c r="H73" i="3" s="1"/>
  <c r="H74" i="3" s="1"/>
  <c r="H75" i="3" s="1"/>
  <c r="H76" i="3" s="1"/>
  <c r="H77" i="3" s="1"/>
  <c r="H78" i="3" s="1"/>
  <c r="H79" i="3" s="1"/>
  <c r="H80" i="3" s="1"/>
  <c r="H81" i="3" s="1"/>
  <c r="F52" i="1" l="1"/>
  <c r="E52" i="1"/>
  <c r="B65" i="2"/>
  <c r="B66" i="2"/>
  <c r="B67" i="2"/>
  <c r="B68" i="2"/>
  <c r="E68" i="1" s="1"/>
  <c r="B69" i="2"/>
  <c r="B70" i="2"/>
  <c r="B71" i="2"/>
  <c r="B72" i="2"/>
  <c r="B73" i="2"/>
  <c r="B74" i="2"/>
  <c r="B75" i="2"/>
  <c r="B64" i="2"/>
  <c r="E64" i="1" s="1"/>
  <c r="B55" i="2"/>
  <c r="B56" i="2"/>
  <c r="B57" i="2"/>
  <c r="B58" i="2"/>
  <c r="B59" i="2"/>
  <c r="B60" i="2"/>
  <c r="B61" i="2"/>
  <c r="B62" i="2"/>
  <c r="B63" i="2"/>
  <c r="E70" i="1" l="1"/>
  <c r="E69" i="1"/>
  <c r="F57" i="1"/>
  <c r="F54" i="1"/>
  <c r="H64" i="1"/>
  <c r="F75" i="1"/>
  <c r="F66" i="1"/>
  <c r="F73" i="1"/>
  <c r="F65" i="1"/>
  <c r="E75" i="1"/>
  <c r="E67" i="1"/>
  <c r="F72" i="1"/>
  <c r="F64" i="1"/>
  <c r="F67" i="1"/>
  <c r="F74" i="1"/>
  <c r="E74" i="1"/>
  <c r="E66" i="1"/>
  <c r="F71" i="1"/>
  <c r="H70" i="1"/>
  <c r="E73" i="1"/>
  <c r="E65" i="1"/>
  <c r="F70" i="1"/>
  <c r="E72" i="1"/>
  <c r="F69" i="1"/>
  <c r="H68" i="1"/>
  <c r="L9" i="2"/>
  <c r="E71" i="1"/>
  <c r="F68" i="1"/>
  <c r="F56" i="1"/>
  <c r="E53" i="1"/>
  <c r="H53" i="1" s="1"/>
  <c r="F55" i="1"/>
  <c r="F53" i="1"/>
  <c r="F60" i="1"/>
  <c r="E62" i="1"/>
  <c r="F59" i="1"/>
  <c r="E61" i="1"/>
  <c r="E58" i="1"/>
  <c r="E57" i="1"/>
  <c r="F62" i="1"/>
  <c r="F63" i="1"/>
  <c r="E54" i="1"/>
  <c r="F61" i="1"/>
  <c r="E60" i="1"/>
  <c r="E59" i="1"/>
  <c r="F58" i="1"/>
  <c r="E56" i="1"/>
  <c r="E63" i="1"/>
  <c r="E55" i="1"/>
  <c r="L8" i="2"/>
  <c r="H69" i="1" l="1"/>
  <c r="H61" i="1"/>
  <c r="H57" i="1"/>
  <c r="H58" i="1"/>
  <c r="H62" i="1"/>
  <c r="H54" i="1"/>
  <c r="M54" i="1" s="1"/>
  <c r="H72" i="1"/>
  <c r="H73" i="1"/>
  <c r="H71" i="1"/>
  <c r="H67" i="1"/>
  <c r="H74" i="1"/>
  <c r="H65" i="1"/>
  <c r="H66" i="1"/>
  <c r="H75" i="1"/>
  <c r="H55" i="1"/>
  <c r="H59" i="1"/>
  <c r="H63" i="1"/>
  <c r="H60" i="1"/>
  <c r="H56" i="1"/>
  <c r="Q39" i="1"/>
  <c r="Q51" i="1"/>
  <c r="AD49" i="7"/>
  <c r="AD46" i="7"/>
  <c r="M66" i="1" l="1"/>
  <c r="M72" i="1"/>
  <c r="M75" i="1"/>
  <c r="M69" i="1"/>
  <c r="M63" i="1"/>
  <c r="M60" i="1"/>
  <c r="M57" i="1"/>
  <c r="O45" i="1"/>
  <c r="O42" i="1"/>
  <c r="B44" i="7" l="1"/>
  <c r="AD43" i="7" l="1"/>
  <c r="H15" i="2" l="1"/>
  <c r="H27" i="2"/>
  <c r="H39" i="2"/>
  <c r="AD40" i="7"/>
  <c r="O39" i="1" l="1"/>
  <c r="J30" i="7" l="1"/>
  <c r="J31" i="7"/>
  <c r="J32" i="7"/>
  <c r="J33" i="7" s="1"/>
  <c r="J34" i="7" s="1"/>
  <c r="J35" i="7" s="1"/>
  <c r="J36" i="7" s="1"/>
  <c r="J37" i="7" s="1"/>
  <c r="J38" i="7" s="1"/>
  <c r="J39" i="7" s="1"/>
  <c r="J40" i="7" s="1"/>
  <c r="J41" i="7" s="1"/>
  <c r="J42" i="7" s="1"/>
  <c r="J43" i="7" s="1"/>
  <c r="J44" i="7" s="1"/>
  <c r="J45" i="7" s="1"/>
  <c r="J46" i="7" s="1"/>
  <c r="J47" i="7" s="1"/>
  <c r="J48" i="7" s="1"/>
  <c r="J49" i="7" s="1"/>
  <c r="J50" i="7" s="1"/>
  <c r="J51" i="7" s="1"/>
  <c r="J52" i="7" s="1"/>
  <c r="J53" i="7" s="1"/>
  <c r="J54" i="7" s="1"/>
  <c r="J55" i="7" s="1"/>
  <c r="J56" i="7" s="1"/>
  <c r="J57" i="7" s="1"/>
  <c r="J58" i="7" s="1"/>
  <c r="J59" i="7" s="1"/>
  <c r="J60" i="7" s="1"/>
  <c r="J61" i="7" s="1"/>
  <c r="J62" i="7" s="1"/>
  <c r="J63" i="7" s="1"/>
  <c r="J64" i="7" s="1"/>
  <c r="J65" i="7" s="1"/>
  <c r="J66" i="7" s="1"/>
  <c r="J67" i="7" s="1"/>
  <c r="J68" i="7" s="1"/>
  <c r="J69" i="7" s="1"/>
  <c r="J70" i="7" s="1"/>
  <c r="J71" i="7" s="1"/>
  <c r="J72" i="7" s="1"/>
  <c r="J73" i="7" s="1"/>
  <c r="J74" i="7" s="1"/>
  <c r="J75" i="7" s="1"/>
  <c r="J76" i="7" s="1"/>
  <c r="J29" i="7"/>
  <c r="V30" i="7"/>
  <c r="V31" i="7"/>
  <c r="V32" i="7"/>
  <c r="V33" i="7"/>
  <c r="V34" i="7" s="1"/>
  <c r="V35" i="7" s="1"/>
  <c r="V36" i="7" s="1"/>
  <c r="V37" i="7" s="1"/>
  <c r="V38" i="7" s="1"/>
  <c r="V39" i="7" s="1"/>
  <c r="V40" i="7" s="1"/>
  <c r="V41" i="7" s="1"/>
  <c r="V42" i="7" s="1"/>
  <c r="V43" i="7" s="1"/>
  <c r="V44" i="7" s="1"/>
  <c r="V45" i="7" s="1"/>
  <c r="V46" i="7" s="1"/>
  <c r="V47" i="7" s="1"/>
  <c r="V48" i="7" s="1"/>
  <c r="V49" i="7" s="1"/>
  <c r="V50" i="7" s="1"/>
  <c r="V51" i="7" s="1"/>
  <c r="V52" i="7" s="1"/>
  <c r="V53" i="7" s="1"/>
  <c r="V54" i="7" s="1"/>
  <c r="V55" i="7" s="1"/>
  <c r="V56" i="7" s="1"/>
  <c r="V57" i="7" s="1"/>
  <c r="V58" i="7" s="1"/>
  <c r="V59" i="7" s="1"/>
  <c r="V60" i="7" s="1"/>
  <c r="V61" i="7" s="1"/>
  <c r="V62" i="7" s="1"/>
  <c r="V63" i="7" s="1"/>
  <c r="V64" i="7" s="1"/>
  <c r="V65" i="7" s="1"/>
  <c r="V66" i="7" s="1"/>
  <c r="V67" i="7" s="1"/>
  <c r="V68" i="7" s="1"/>
  <c r="V69" i="7" s="1"/>
  <c r="V70" i="7" s="1"/>
  <c r="V71" i="7" s="1"/>
  <c r="V72" i="7" s="1"/>
  <c r="V73" i="7" s="1"/>
  <c r="V74" i="7" s="1"/>
  <c r="V75" i="7" s="1"/>
  <c r="V76" i="7" s="1"/>
  <c r="V29" i="7"/>
  <c r="Z30" i="7"/>
  <c r="Z31" i="7"/>
  <c r="Z32" i="7"/>
  <c r="Z33" i="7"/>
  <c r="Z34" i="7" s="1"/>
  <c r="Z35" i="7" s="1"/>
  <c r="Z36" i="7" s="1"/>
  <c r="Z37" i="7" s="1"/>
  <c r="Z38" i="7" s="1"/>
  <c r="Z39" i="7" s="1"/>
  <c r="Z40" i="7" s="1"/>
  <c r="Z41" i="7" s="1"/>
  <c r="Z42" i="7" s="1"/>
  <c r="Z43" i="7" s="1"/>
  <c r="Z44" i="7" s="1"/>
  <c r="Z45" i="7" s="1"/>
  <c r="Z46" i="7" s="1"/>
  <c r="Z47" i="7" s="1"/>
  <c r="Z48" i="7" s="1"/>
  <c r="Z49" i="7" s="1"/>
  <c r="Z50" i="7" s="1"/>
  <c r="Z51" i="7" s="1"/>
  <c r="Z52" i="7" s="1"/>
  <c r="Z53" i="7" s="1"/>
  <c r="Z54" i="7" s="1"/>
  <c r="Z55" i="7" s="1"/>
  <c r="Z56" i="7" s="1"/>
  <c r="Z57" i="7" s="1"/>
  <c r="Z58" i="7" s="1"/>
  <c r="Z59" i="7" s="1"/>
  <c r="Z60" i="7" s="1"/>
  <c r="Z61" i="7" s="1"/>
  <c r="Z62" i="7" s="1"/>
  <c r="Z63" i="7" s="1"/>
  <c r="Z64" i="7" s="1"/>
  <c r="Z65" i="7" s="1"/>
  <c r="Z66" i="7" s="1"/>
  <c r="Z67" i="7" s="1"/>
  <c r="Z68" i="7" s="1"/>
  <c r="Z69" i="7" s="1"/>
  <c r="Z70" i="7" s="1"/>
  <c r="Z71" i="7" s="1"/>
  <c r="Z72" i="7" s="1"/>
  <c r="Z73" i="7" s="1"/>
  <c r="Z74" i="7" s="1"/>
  <c r="Z75" i="7" s="1"/>
  <c r="Z76" i="7" s="1"/>
  <c r="Z29" i="7"/>
  <c r="T29" i="7"/>
  <c r="T30" i="7" s="1"/>
  <c r="T31" i="7" s="1"/>
  <c r="T32" i="7" s="1"/>
  <c r="T33" i="7" s="1"/>
  <c r="T34" i="7" s="1"/>
  <c r="T35" i="7" s="1"/>
  <c r="T36" i="7" s="1"/>
  <c r="T37" i="7" s="1"/>
  <c r="T38" i="7" s="1"/>
  <c r="T39" i="7" s="1"/>
  <c r="T40" i="7" s="1"/>
  <c r="T41" i="7" s="1"/>
  <c r="T42" i="7" s="1"/>
  <c r="T43" i="7" s="1"/>
  <c r="T44" i="7" s="1"/>
  <c r="T45" i="7" s="1"/>
  <c r="T46" i="7" s="1"/>
  <c r="T47" i="7" s="1"/>
  <c r="T48" i="7" s="1"/>
  <c r="T49" i="7" s="1"/>
  <c r="T50" i="7" s="1"/>
  <c r="T51" i="7" s="1"/>
  <c r="T52" i="7" s="1"/>
  <c r="T53" i="7" s="1"/>
  <c r="T54" i="7" s="1"/>
  <c r="T55" i="7" s="1"/>
  <c r="T56" i="7" s="1"/>
  <c r="T57" i="7" s="1"/>
  <c r="T58" i="7" s="1"/>
  <c r="T59" i="7" s="1"/>
  <c r="T60" i="7" s="1"/>
  <c r="T61" i="7" s="1"/>
  <c r="T62" i="7" s="1"/>
  <c r="T63" i="7" s="1"/>
  <c r="T64" i="7" s="1"/>
  <c r="T65" i="7" s="1"/>
  <c r="T66" i="7" s="1"/>
  <c r="T67" i="7" s="1"/>
  <c r="T68" i="7" s="1"/>
  <c r="T69" i="7" s="1"/>
  <c r="T70" i="7" s="1"/>
  <c r="T71" i="7" s="1"/>
  <c r="T72" i="7" s="1"/>
  <c r="T73" i="7" s="1"/>
  <c r="T74" i="7" s="1"/>
  <c r="T75" i="7" s="1"/>
  <c r="T76" i="7" s="1"/>
  <c r="R30" i="7"/>
  <c r="R31" i="7" s="1"/>
  <c r="R32" i="7" s="1"/>
  <c r="R33" i="7" s="1"/>
  <c r="R34" i="7" s="1"/>
  <c r="R35" i="7" s="1"/>
  <c r="R36" i="7" s="1"/>
  <c r="R37" i="7" s="1"/>
  <c r="R38" i="7" s="1"/>
  <c r="R39" i="7" s="1"/>
  <c r="R40" i="7" s="1"/>
  <c r="R41" i="7" s="1"/>
  <c r="R42" i="7" s="1"/>
  <c r="R43" i="7" s="1"/>
  <c r="R44" i="7" s="1"/>
  <c r="R45" i="7" s="1"/>
  <c r="R46" i="7" s="1"/>
  <c r="R47" i="7" s="1"/>
  <c r="R48" i="7" s="1"/>
  <c r="R49" i="7" s="1"/>
  <c r="R50" i="7" s="1"/>
  <c r="R51" i="7" s="1"/>
  <c r="R52" i="7" s="1"/>
  <c r="R53" i="7" s="1"/>
  <c r="R29" i="7"/>
  <c r="P29" i="7"/>
  <c r="P30" i="7" s="1"/>
  <c r="P31" i="7" s="1"/>
  <c r="P32" i="7" s="1"/>
  <c r="P33" i="7" s="1"/>
  <c r="P34" i="7" s="1"/>
  <c r="P35" i="7" s="1"/>
  <c r="P36" i="7" s="1"/>
  <c r="P37" i="7" s="1"/>
  <c r="P38" i="7" s="1"/>
  <c r="P39" i="7" s="1"/>
  <c r="P40" i="7" s="1"/>
  <c r="P41" i="7" s="1"/>
  <c r="P42" i="7" s="1"/>
  <c r="P43" i="7" s="1"/>
  <c r="P44" i="7" s="1"/>
  <c r="P45" i="7" s="1"/>
  <c r="P46" i="7" s="1"/>
  <c r="P47" i="7" s="1"/>
  <c r="P48" i="7" s="1"/>
  <c r="P49" i="7" s="1"/>
  <c r="P50" i="7" s="1"/>
  <c r="P51" i="7" s="1"/>
  <c r="P52" i="7" s="1"/>
  <c r="P53" i="7" s="1"/>
  <c r="P54" i="7" s="1"/>
  <c r="P55" i="7" s="1"/>
  <c r="P56" i="7" s="1"/>
  <c r="P57" i="7" s="1"/>
  <c r="P58" i="7" s="1"/>
  <c r="P59" i="7" s="1"/>
  <c r="P60" i="7" s="1"/>
  <c r="P61" i="7" s="1"/>
  <c r="P62" i="7" s="1"/>
  <c r="P63" i="7" s="1"/>
  <c r="P64" i="7" s="1"/>
  <c r="P65" i="7" s="1"/>
  <c r="P66" i="7" s="1"/>
  <c r="P67" i="7" s="1"/>
  <c r="P68" i="7" s="1"/>
  <c r="P69" i="7" s="1"/>
  <c r="P70" i="7" s="1"/>
  <c r="P71" i="7" s="1"/>
  <c r="P72" i="7" s="1"/>
  <c r="P73" i="7" s="1"/>
  <c r="P74" i="7" s="1"/>
  <c r="P75" i="7" s="1"/>
  <c r="P76" i="7" s="1"/>
  <c r="N29" i="7"/>
  <c r="N30" i="7" s="1"/>
  <c r="N31" i="7" s="1"/>
  <c r="N32" i="7" s="1"/>
  <c r="N33" i="7" s="1"/>
  <c r="N34" i="7" s="1"/>
  <c r="N35" i="7" s="1"/>
  <c r="N36" i="7" s="1"/>
  <c r="N37" i="7" s="1"/>
  <c r="N38" i="7" s="1"/>
  <c r="N39" i="7" s="1"/>
  <c r="N40" i="7" s="1"/>
  <c r="N41" i="7" s="1"/>
  <c r="N42" i="7" s="1"/>
  <c r="N43" i="7" s="1"/>
  <c r="N44" i="7" s="1"/>
  <c r="N45" i="7" s="1"/>
  <c r="N46" i="7" s="1"/>
  <c r="N47" i="7" s="1"/>
  <c r="N48" i="7" s="1"/>
  <c r="N49" i="7" s="1"/>
  <c r="N50" i="7" s="1"/>
  <c r="N51" i="7" s="1"/>
  <c r="N52" i="7" s="1"/>
  <c r="N53" i="7" s="1"/>
  <c r="N54" i="7" s="1"/>
  <c r="N55" i="7" s="1"/>
  <c r="N56" i="7" s="1"/>
  <c r="N57" i="7" s="1"/>
  <c r="N58" i="7" s="1"/>
  <c r="N59" i="7" s="1"/>
  <c r="N60" i="7" s="1"/>
  <c r="N61" i="7" s="1"/>
  <c r="N62" i="7" s="1"/>
  <c r="N63" i="7" s="1"/>
  <c r="N64" i="7" s="1"/>
  <c r="N65" i="7" s="1"/>
  <c r="N66" i="7" s="1"/>
  <c r="N67" i="7" s="1"/>
  <c r="N68" i="7" s="1"/>
  <c r="N69" i="7" s="1"/>
  <c r="N70" i="7" s="1"/>
  <c r="N71" i="7" s="1"/>
  <c r="N72" i="7" s="1"/>
  <c r="N73" i="7" s="1"/>
  <c r="N74" i="7" s="1"/>
  <c r="N75" i="7" s="1"/>
  <c r="N76" i="7" s="1"/>
  <c r="L29" i="7"/>
  <c r="L30" i="7" s="1"/>
  <c r="L31" i="7" s="1"/>
  <c r="L32" i="7" s="1"/>
  <c r="L33" i="7" s="1"/>
  <c r="L34" i="7" s="1"/>
  <c r="L35" i="7" s="1"/>
  <c r="L36" i="7" s="1"/>
  <c r="L37" i="7" s="1"/>
  <c r="L38" i="7" s="1"/>
  <c r="L39" i="7" s="1"/>
  <c r="L40" i="7" s="1"/>
  <c r="L41" i="7" s="1"/>
  <c r="L42" i="7" s="1"/>
  <c r="L43" i="7" s="1"/>
  <c r="L44" i="7" s="1"/>
  <c r="L45" i="7" s="1"/>
  <c r="L46" i="7" s="1"/>
  <c r="L47" i="7" s="1"/>
  <c r="L48" i="7" s="1"/>
  <c r="L49" i="7" s="1"/>
  <c r="L50" i="7" s="1"/>
  <c r="L51" i="7" s="1"/>
  <c r="L52" i="7" s="1"/>
  <c r="L53" i="7" s="1"/>
  <c r="L54" i="7" s="1"/>
  <c r="L55" i="7" s="1"/>
  <c r="L56" i="7" s="1"/>
  <c r="L57" i="7" s="1"/>
  <c r="L58" i="7" s="1"/>
  <c r="L59" i="7" s="1"/>
  <c r="L60" i="7" s="1"/>
  <c r="L61" i="7" s="1"/>
  <c r="L62" i="7" s="1"/>
  <c r="L63" i="7" s="1"/>
  <c r="L64" i="7" s="1"/>
  <c r="L65" i="7" s="1"/>
  <c r="L66" i="7" s="1"/>
  <c r="L67" i="7" s="1"/>
  <c r="L68" i="7" s="1"/>
  <c r="L69" i="7" s="1"/>
  <c r="L70" i="7" s="1"/>
  <c r="L71" i="7" s="1"/>
  <c r="L72" i="7" s="1"/>
  <c r="L73" i="7" s="1"/>
  <c r="L74" i="7" s="1"/>
  <c r="L75" i="7" s="1"/>
  <c r="L76" i="7" s="1"/>
  <c r="X29" i="7"/>
  <c r="X30" i="7" s="1"/>
  <c r="X31" i="7" s="1"/>
  <c r="X32" i="7" s="1"/>
  <c r="X33" i="7" s="1"/>
  <c r="X34" i="7" s="1"/>
  <c r="X35" i="7" s="1"/>
  <c r="X36" i="7" s="1"/>
  <c r="X37" i="7" s="1"/>
  <c r="X38" i="7" s="1"/>
  <c r="X39" i="7" s="1"/>
  <c r="X40" i="7" s="1"/>
  <c r="X41" i="7" s="1"/>
  <c r="X42" i="7" s="1"/>
  <c r="X43" i="7" s="1"/>
  <c r="X44" i="7" s="1"/>
  <c r="X45" i="7" s="1"/>
  <c r="X46" i="7" s="1"/>
  <c r="X47" i="7" s="1"/>
  <c r="X48" i="7" s="1"/>
  <c r="X49" i="7" s="1"/>
  <c r="X50" i="7" s="1"/>
  <c r="X51" i="7" s="1"/>
  <c r="X52" i="7" s="1"/>
  <c r="X53" i="7" s="1"/>
  <c r="X54" i="7" s="1"/>
  <c r="X55" i="7" s="1"/>
  <c r="X56" i="7" s="1"/>
  <c r="X57" i="7" s="1"/>
  <c r="X58" i="7" s="1"/>
  <c r="X59" i="7" s="1"/>
  <c r="X60" i="7" s="1"/>
  <c r="X61" i="7" s="1"/>
  <c r="X62" i="7" s="1"/>
  <c r="X63" i="7" s="1"/>
  <c r="X64" i="7" s="1"/>
  <c r="X65" i="7" s="1"/>
  <c r="X66" i="7" s="1"/>
  <c r="X67" i="7" s="1"/>
  <c r="X68" i="7" s="1"/>
  <c r="X69" i="7" s="1"/>
  <c r="X70" i="7" s="1"/>
  <c r="X71" i="7" s="1"/>
  <c r="X72" i="7" s="1"/>
  <c r="X73" i="7" s="1"/>
  <c r="X74" i="7" s="1"/>
  <c r="X75" i="7" s="1"/>
  <c r="X76" i="7" s="1"/>
  <c r="H30" i="7"/>
  <c r="H31" i="7" s="1"/>
  <c r="H32" i="7" s="1"/>
  <c r="H33" i="7" s="1"/>
  <c r="H34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H49" i="7" s="1"/>
  <c r="H50" i="7" s="1"/>
  <c r="H51" i="7" s="1"/>
  <c r="H52" i="7" s="1"/>
  <c r="H53" i="7" s="1"/>
  <c r="H54" i="7" s="1"/>
  <c r="H55" i="7" s="1"/>
  <c r="H56" i="7" s="1"/>
  <c r="H57" i="7" s="1"/>
  <c r="H58" i="7" s="1"/>
  <c r="H59" i="7" s="1"/>
  <c r="H60" i="7" s="1"/>
  <c r="H61" i="7" s="1"/>
  <c r="H62" i="7" s="1"/>
  <c r="H63" i="7" s="1"/>
  <c r="H64" i="7" s="1"/>
  <c r="H65" i="7" s="1"/>
  <c r="H66" i="7" s="1"/>
  <c r="H67" i="7" s="1"/>
  <c r="H68" i="7" s="1"/>
  <c r="H69" i="7" s="1"/>
  <c r="H70" i="7" s="1"/>
  <c r="H71" i="7" s="1"/>
  <c r="H72" i="7" s="1"/>
  <c r="H73" i="7" s="1"/>
  <c r="H74" i="7" s="1"/>
  <c r="H75" i="7" s="1"/>
  <c r="H76" i="7" s="1"/>
  <c r="H29" i="7"/>
  <c r="F33" i="7"/>
  <c r="F34" i="7" s="1"/>
  <c r="F35" i="7" s="1"/>
  <c r="F36" i="7" s="1"/>
  <c r="F37" i="7" s="1"/>
  <c r="F38" i="7" s="1"/>
  <c r="F39" i="7" s="1"/>
  <c r="F40" i="7" s="1"/>
  <c r="F41" i="7" s="1"/>
  <c r="F42" i="7" s="1"/>
  <c r="F43" i="7" s="1"/>
  <c r="F44" i="7" s="1"/>
  <c r="F45" i="7" s="1"/>
  <c r="F46" i="7" s="1"/>
  <c r="F47" i="7" s="1"/>
  <c r="F48" i="7" s="1"/>
  <c r="F49" i="7" s="1"/>
  <c r="F50" i="7" s="1"/>
  <c r="F51" i="7" s="1"/>
  <c r="F52" i="7" s="1"/>
  <c r="F53" i="7" s="1"/>
  <c r="F32" i="7"/>
  <c r="F31" i="7"/>
  <c r="F30" i="7"/>
  <c r="F29" i="7"/>
  <c r="F54" i="7" l="1"/>
  <c r="AB53" i="7"/>
  <c r="R54" i="7"/>
  <c r="AA53" i="7"/>
  <c r="AA30" i="7"/>
  <c r="D29" i="1" s="1"/>
  <c r="AA29" i="7"/>
  <c r="D28" i="1" s="1"/>
  <c r="AA52" i="7"/>
  <c r="AA48" i="7"/>
  <c r="AA40" i="7"/>
  <c r="D39" i="1" s="1"/>
  <c r="AA47" i="7"/>
  <c r="AA43" i="7"/>
  <c r="D42" i="1" s="1"/>
  <c r="AA35" i="7"/>
  <c r="AA50" i="7"/>
  <c r="AA46" i="7"/>
  <c r="AA42" i="7"/>
  <c r="D41" i="1" s="1"/>
  <c r="AA38" i="7"/>
  <c r="D37" i="1" s="1"/>
  <c r="AA34" i="7"/>
  <c r="AA44" i="7"/>
  <c r="AA36" i="7"/>
  <c r="AA32" i="7"/>
  <c r="AA51" i="7"/>
  <c r="AA39" i="7"/>
  <c r="D38" i="1" s="1"/>
  <c r="AA31" i="7"/>
  <c r="D30" i="1" s="1"/>
  <c r="AA49" i="7"/>
  <c r="AA45" i="7"/>
  <c r="AA41" i="7"/>
  <c r="D40" i="1" s="1"/>
  <c r="AA37" i="7"/>
  <c r="D36" i="1" s="1"/>
  <c r="AA33" i="7"/>
  <c r="P28" i="1"/>
  <c r="F33" i="2"/>
  <c r="F30" i="2"/>
  <c r="F27" i="2"/>
  <c r="F24" i="2"/>
  <c r="F21" i="2"/>
  <c r="F18" i="2"/>
  <c r="F55" i="7" l="1"/>
  <c r="AB54" i="7"/>
  <c r="AC30" i="7"/>
  <c r="AB30" i="7"/>
  <c r="B54" i="7"/>
  <c r="C54" i="7" s="1"/>
  <c r="D52" i="1"/>
  <c r="J52" i="1" s="1"/>
  <c r="R55" i="7"/>
  <c r="AA54" i="7"/>
  <c r="D51" i="1"/>
  <c r="B53" i="7"/>
  <c r="C53" i="7" s="1"/>
  <c r="D46" i="1"/>
  <c r="B48" i="7"/>
  <c r="D47" i="1"/>
  <c r="B49" i="7"/>
  <c r="C49" i="7" s="1"/>
  <c r="D48" i="1"/>
  <c r="B50" i="7"/>
  <c r="C50" i="7" s="1"/>
  <c r="D45" i="1"/>
  <c r="B47" i="7"/>
  <c r="D44" i="1"/>
  <c r="B46" i="7"/>
  <c r="D50" i="1"/>
  <c r="B52" i="7"/>
  <c r="C52" i="7" s="1"/>
  <c r="D49" i="1"/>
  <c r="B51" i="7"/>
  <c r="C51" i="7" s="1"/>
  <c r="D43" i="1"/>
  <c r="B45" i="7"/>
  <c r="D32" i="1"/>
  <c r="AC33" i="7"/>
  <c r="D31" i="1"/>
  <c r="AC32" i="7"/>
  <c r="D34" i="1"/>
  <c r="AC35" i="7"/>
  <c r="AD37" i="7" s="1"/>
  <c r="AC34" i="7"/>
  <c r="AD34" i="7" s="1"/>
  <c r="D33" i="1"/>
  <c r="D35" i="1"/>
  <c r="AC36" i="7"/>
  <c r="AB31" i="7"/>
  <c r="AC31" i="7"/>
  <c r="AC29" i="7"/>
  <c r="AB29" i="7"/>
  <c r="AB33" i="7"/>
  <c r="AB32" i="7"/>
  <c r="F28" i="1"/>
  <c r="F56" i="7" l="1"/>
  <c r="AB55" i="7"/>
  <c r="B55" i="7"/>
  <c r="C55" i="7" s="1"/>
  <c r="D53" i="1"/>
  <c r="J53" i="1" s="1"/>
  <c r="R56" i="7"/>
  <c r="AA55" i="7"/>
  <c r="K52" i="1"/>
  <c r="C5" i="7"/>
  <c r="AB5" i="7" s="1"/>
  <c r="F57" i="7" l="1"/>
  <c r="AB56" i="7"/>
  <c r="R57" i="7"/>
  <c r="AA56" i="7"/>
  <c r="B56" i="7"/>
  <c r="C56" i="7" s="1"/>
  <c r="D54" i="1"/>
  <c r="J54" i="1" s="1"/>
  <c r="N53" i="1" s="1"/>
  <c r="B6" i="7"/>
  <c r="C6" i="7" s="1"/>
  <c r="AB6" i="7" s="1"/>
  <c r="B7" i="7" s="1"/>
  <c r="C7" i="7" s="1"/>
  <c r="AB7" i="7" s="1"/>
  <c r="B8" i="7" s="1"/>
  <c r="C8" i="7" s="1"/>
  <c r="AB8" i="7" s="1"/>
  <c r="B9" i="7" s="1"/>
  <c r="C9" i="7" s="1"/>
  <c r="AB9" i="7" s="1"/>
  <c r="B10" i="7" s="1"/>
  <c r="C10" i="7" s="1"/>
  <c r="AB10" i="7" s="1"/>
  <c r="B11" i="7" s="1"/>
  <c r="C11" i="7" s="1"/>
  <c r="AB11" i="7" s="1"/>
  <c r="B12" i="7" s="1"/>
  <c r="C12" i="7" s="1"/>
  <c r="AB12" i="7" s="1"/>
  <c r="B13" i="7" s="1"/>
  <c r="C13" i="7" s="1"/>
  <c r="AB13" i="7" s="1"/>
  <c r="B14" i="7" s="1"/>
  <c r="C14" i="7" s="1"/>
  <c r="AB14" i="7" s="1"/>
  <c r="B15" i="7" s="1"/>
  <c r="C15" i="7" s="1"/>
  <c r="AB15" i="7" s="1"/>
  <c r="B16" i="7" s="1"/>
  <c r="C16" i="7" s="1"/>
  <c r="AB16" i="7" s="1"/>
  <c r="B17" i="7" s="1"/>
  <c r="C17" i="7" s="1"/>
  <c r="AB17" i="7" s="1"/>
  <c r="B18" i="7" s="1"/>
  <c r="C18" i="7" s="1"/>
  <c r="AB18" i="7" s="1"/>
  <c r="B19" i="7" s="1"/>
  <c r="C19" i="7" s="1"/>
  <c r="AB19" i="7" s="1"/>
  <c r="B20" i="7" s="1"/>
  <c r="C20" i="7" s="1"/>
  <c r="AB20" i="7" s="1"/>
  <c r="B21" i="7" s="1"/>
  <c r="C21" i="7" s="1"/>
  <c r="AB21" i="7" s="1"/>
  <c r="B22" i="7" s="1"/>
  <c r="C22" i="7" s="1"/>
  <c r="AB22" i="7" s="1"/>
  <c r="B23" i="7" s="1"/>
  <c r="C23" i="7" s="1"/>
  <c r="AB23" i="7" s="1"/>
  <c r="B24" i="7" s="1"/>
  <c r="C24" i="7" s="1"/>
  <c r="AB24" i="7" s="1"/>
  <c r="B25" i="7" s="1"/>
  <c r="C25" i="7" s="1"/>
  <c r="AB25" i="7" s="1"/>
  <c r="B26" i="7" s="1"/>
  <c r="C26" i="7" s="1"/>
  <c r="AB26" i="7" s="1"/>
  <c r="B27" i="7" s="1"/>
  <c r="C27" i="7" s="1"/>
  <c r="AB27" i="7" s="1"/>
  <c r="F58" i="7" l="1"/>
  <c r="AB57" i="7"/>
  <c r="B57" i="7"/>
  <c r="C57" i="7" s="1"/>
  <c r="D55" i="1"/>
  <c r="J55" i="1" s="1"/>
  <c r="R58" i="7"/>
  <c r="AA57" i="7"/>
  <c r="B28" i="7"/>
  <c r="C28" i="7" s="1"/>
  <c r="B29" i="7" s="1"/>
  <c r="B31" i="7"/>
  <c r="C31" i="7" s="1"/>
  <c r="AD16" i="7"/>
  <c r="E18" i="1"/>
  <c r="E19" i="1"/>
  <c r="E17" i="1"/>
  <c r="E16" i="1"/>
  <c r="I17" i="3"/>
  <c r="I16" i="3"/>
  <c r="I18" i="3"/>
  <c r="I19" i="3"/>
  <c r="I20" i="3"/>
  <c r="I21" i="3"/>
  <c r="I22" i="3"/>
  <c r="I23" i="3"/>
  <c r="I24" i="3"/>
  <c r="I25" i="3"/>
  <c r="I26" i="3"/>
  <c r="I27" i="3"/>
  <c r="I28" i="3"/>
  <c r="I29" i="3"/>
  <c r="I15" i="3"/>
  <c r="I14" i="3"/>
  <c r="E13" i="1"/>
  <c r="F59" i="7" l="1"/>
  <c r="AB58" i="7"/>
  <c r="R59" i="7"/>
  <c r="AA58" i="7"/>
  <c r="B58" i="7"/>
  <c r="C58" i="7" s="1"/>
  <c r="D56" i="1"/>
  <c r="J56" i="1" s="1"/>
  <c r="B49" i="3"/>
  <c r="R48" i="3"/>
  <c r="C29" i="7"/>
  <c r="B30" i="7" s="1"/>
  <c r="C30" i="7" s="1"/>
  <c r="J28" i="1"/>
  <c r="B32" i="7"/>
  <c r="C32" i="7" s="1"/>
  <c r="E20" i="1"/>
  <c r="F60" i="7" l="1"/>
  <c r="AB59" i="7"/>
  <c r="B59" i="7"/>
  <c r="C59" i="7" s="1"/>
  <c r="D57" i="1"/>
  <c r="J57" i="1" s="1"/>
  <c r="R60" i="7"/>
  <c r="AA59" i="7"/>
  <c r="C5" i="4"/>
  <c r="G5" i="4" s="1"/>
  <c r="B6" i="4" s="1"/>
  <c r="C6" i="4" s="1"/>
  <c r="G6" i="4" s="1"/>
  <c r="B18" i="3"/>
  <c r="C18" i="3" s="1"/>
  <c r="B17" i="3"/>
  <c r="C17" i="3" s="1"/>
  <c r="R16" i="3"/>
  <c r="C15" i="1" s="1"/>
  <c r="B16" i="3"/>
  <c r="C16" i="3" s="1"/>
  <c r="R15" i="3"/>
  <c r="C14" i="1" s="1"/>
  <c r="B15" i="3"/>
  <c r="C15" i="3" s="1"/>
  <c r="R14" i="3"/>
  <c r="C13" i="1" s="1"/>
  <c r="I13" i="3"/>
  <c r="R13" i="3" s="1"/>
  <c r="C12" i="1" s="1"/>
  <c r="I12" i="3"/>
  <c r="B13" i="3" s="1"/>
  <c r="C13" i="3" s="1"/>
  <c r="I11" i="3"/>
  <c r="R11" i="3" s="1"/>
  <c r="C10" i="1" s="1"/>
  <c r="I10" i="3"/>
  <c r="B11" i="3" s="1"/>
  <c r="C11" i="3" s="1"/>
  <c r="I9" i="3"/>
  <c r="R9" i="3" s="1"/>
  <c r="C8" i="1" s="1"/>
  <c r="B9" i="3"/>
  <c r="C9" i="3" s="1"/>
  <c r="R8" i="3"/>
  <c r="C7" i="1" s="1"/>
  <c r="B8" i="3"/>
  <c r="C8" i="3" s="1"/>
  <c r="R7" i="3"/>
  <c r="C6" i="1" s="1"/>
  <c r="B7" i="3"/>
  <c r="C7" i="3" s="1"/>
  <c r="R6" i="3"/>
  <c r="C5" i="1" s="1"/>
  <c r="B6" i="3"/>
  <c r="C6" i="3" s="1"/>
  <c r="R5" i="3"/>
  <c r="C4" i="1" s="1"/>
  <c r="L5" i="3"/>
  <c r="P5" i="3" s="1"/>
  <c r="K6" i="3" s="1"/>
  <c r="L6" i="3" s="1"/>
  <c r="P6" i="3" s="1"/>
  <c r="K7" i="3" s="1"/>
  <c r="L7" i="3" s="1"/>
  <c r="P7" i="3" s="1"/>
  <c r="K8" i="3" s="1"/>
  <c r="L8" i="3" s="1"/>
  <c r="P8" i="3" s="1"/>
  <c r="K9" i="3" s="1"/>
  <c r="L9" i="3" s="1"/>
  <c r="P9" i="3" s="1"/>
  <c r="K10" i="3" s="1"/>
  <c r="L10" i="3" s="1"/>
  <c r="P10" i="3" s="1"/>
  <c r="K11" i="3" s="1"/>
  <c r="L11" i="3" s="1"/>
  <c r="P11" i="3" s="1"/>
  <c r="K12" i="3" s="1"/>
  <c r="L12" i="3" s="1"/>
  <c r="P12" i="3" s="1"/>
  <c r="K13" i="3" s="1"/>
  <c r="L13" i="3" s="1"/>
  <c r="P13" i="3" s="1"/>
  <c r="K14" i="3" s="1"/>
  <c r="L14" i="3" s="1"/>
  <c r="P14" i="3" s="1"/>
  <c r="K15" i="3" s="1"/>
  <c r="L15" i="3" s="1"/>
  <c r="P15" i="3" s="1"/>
  <c r="K16" i="3" s="1"/>
  <c r="L16" i="3" s="1"/>
  <c r="P16" i="3" s="1"/>
  <c r="K17" i="3" s="1"/>
  <c r="L17" i="3" s="1"/>
  <c r="P17" i="3" s="1"/>
  <c r="K18" i="3" s="1"/>
  <c r="L18" i="3" s="1"/>
  <c r="P18" i="3" s="1"/>
  <c r="C5" i="3"/>
  <c r="H5" i="3" s="1"/>
  <c r="H6" i="3" s="1"/>
  <c r="H7" i="3" s="1"/>
  <c r="H8" i="3" s="1"/>
  <c r="H9" i="3" s="1"/>
  <c r="H10" i="3" s="1"/>
  <c r="H11" i="3" s="1"/>
  <c r="H12" i="3" s="1"/>
  <c r="F39" i="2"/>
  <c r="F36" i="2"/>
  <c r="E28" i="1"/>
  <c r="E27" i="1"/>
  <c r="F20" i="1"/>
  <c r="L4" i="2"/>
  <c r="N29" i="1"/>
  <c r="N28" i="1"/>
  <c r="N26" i="1"/>
  <c r="N25" i="1"/>
  <c r="N23" i="1"/>
  <c r="N22" i="1"/>
  <c r="N20" i="1"/>
  <c r="N19" i="1"/>
  <c r="F18" i="1"/>
  <c r="N17" i="1"/>
  <c r="F17" i="1"/>
  <c r="N16" i="1"/>
  <c r="F16" i="1"/>
  <c r="F15" i="1"/>
  <c r="E15" i="1"/>
  <c r="N14" i="1"/>
  <c r="F14" i="1"/>
  <c r="E14" i="1"/>
  <c r="N13" i="1"/>
  <c r="F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N56" i="1" l="1"/>
  <c r="F61" i="7"/>
  <c r="AB60" i="7"/>
  <c r="B60" i="7"/>
  <c r="C60" i="7" s="1"/>
  <c r="D58" i="1"/>
  <c r="J58" i="1" s="1"/>
  <c r="R61" i="7"/>
  <c r="AA60" i="7"/>
  <c r="H51" i="2"/>
  <c r="F42" i="2"/>
  <c r="F45" i="2"/>
  <c r="F48" i="2"/>
  <c r="F51" i="2"/>
  <c r="B12" i="3"/>
  <c r="C12" i="3" s="1"/>
  <c r="B33" i="7"/>
  <c r="C33" i="7" s="1"/>
  <c r="D4" i="1"/>
  <c r="J4" i="1" s="1"/>
  <c r="B10" i="3"/>
  <c r="C10" i="3" s="1"/>
  <c r="B14" i="3"/>
  <c r="C14" i="3" s="1"/>
  <c r="E42" i="1"/>
  <c r="F42" i="1"/>
  <c r="J42" i="1" s="1"/>
  <c r="E46" i="1"/>
  <c r="F46" i="1"/>
  <c r="J46" i="1" s="1"/>
  <c r="E50" i="1"/>
  <c r="F50" i="1"/>
  <c r="J50" i="1" s="1"/>
  <c r="E43" i="1"/>
  <c r="F43" i="1"/>
  <c r="J43" i="1" s="1"/>
  <c r="E51" i="1"/>
  <c r="F51" i="1"/>
  <c r="J51" i="1" s="1"/>
  <c r="E41" i="1"/>
  <c r="F41" i="1"/>
  <c r="J41" i="1" s="1"/>
  <c r="E45" i="1"/>
  <c r="F45" i="1"/>
  <c r="J45" i="1" s="1"/>
  <c r="E49" i="1"/>
  <c r="F49" i="1"/>
  <c r="J49" i="1" s="1"/>
  <c r="E47" i="1"/>
  <c r="F47" i="1"/>
  <c r="J47" i="1" s="1"/>
  <c r="E40" i="1"/>
  <c r="F40" i="1"/>
  <c r="J40" i="1" s="1"/>
  <c r="E44" i="1"/>
  <c r="F44" i="1"/>
  <c r="J44" i="1" s="1"/>
  <c r="E48" i="1"/>
  <c r="F48" i="1"/>
  <c r="J48" i="1" s="1"/>
  <c r="E34" i="1"/>
  <c r="F34" i="1"/>
  <c r="J34" i="1" s="1"/>
  <c r="E29" i="1"/>
  <c r="F29" i="1"/>
  <c r="J29" i="1" s="1"/>
  <c r="E33" i="1"/>
  <c r="F33" i="1"/>
  <c r="E37" i="1"/>
  <c r="F37" i="1"/>
  <c r="J37" i="1" s="1"/>
  <c r="E30" i="1"/>
  <c r="F30" i="1"/>
  <c r="J30" i="1" s="1"/>
  <c r="E38" i="1"/>
  <c r="F38" i="1"/>
  <c r="J38" i="1" s="1"/>
  <c r="E31" i="1"/>
  <c r="F31" i="1"/>
  <c r="J31" i="1" s="1"/>
  <c r="E35" i="1"/>
  <c r="F35" i="1"/>
  <c r="J35" i="1" s="1"/>
  <c r="E39" i="1"/>
  <c r="F39" i="1"/>
  <c r="J39" i="1" s="1"/>
  <c r="E32" i="1"/>
  <c r="F32" i="1"/>
  <c r="E36" i="1"/>
  <c r="F36" i="1"/>
  <c r="J36" i="1" s="1"/>
  <c r="P19" i="3"/>
  <c r="K19" i="3"/>
  <c r="L19" i="3" s="1"/>
  <c r="D5" i="1"/>
  <c r="J5" i="1" s="1"/>
  <c r="B7" i="4"/>
  <c r="C7" i="4" s="1"/>
  <c r="G7" i="4" s="1"/>
  <c r="R10" i="3"/>
  <c r="C9" i="1" s="1"/>
  <c r="R12" i="3"/>
  <c r="C11" i="1" s="1"/>
  <c r="R12" i="1" s="1"/>
  <c r="C29" i="4"/>
  <c r="L7" i="2"/>
  <c r="L6" i="2"/>
  <c r="F21" i="1"/>
  <c r="E21" i="1"/>
  <c r="F25" i="1"/>
  <c r="E25" i="1"/>
  <c r="F22" i="1"/>
  <c r="E22" i="1"/>
  <c r="F26" i="1"/>
  <c r="E26" i="1"/>
  <c r="F23" i="1"/>
  <c r="E23" i="1"/>
  <c r="F27" i="1"/>
  <c r="F24" i="1"/>
  <c r="E24" i="1"/>
  <c r="H11" i="1"/>
  <c r="H13" i="3"/>
  <c r="H6" i="1"/>
  <c r="I6" i="1" s="1"/>
  <c r="H4" i="1"/>
  <c r="H8" i="1"/>
  <c r="I8" i="1" s="1"/>
  <c r="H10" i="1"/>
  <c r="H7" i="1"/>
  <c r="R15" i="1"/>
  <c r="H5" i="1"/>
  <c r="I5" i="1" s="1"/>
  <c r="R17" i="3"/>
  <c r="L5" i="2"/>
  <c r="F19" i="1"/>
  <c r="F62" i="7" l="1"/>
  <c r="AB61" i="7"/>
  <c r="B61" i="7"/>
  <c r="C61" i="7" s="1"/>
  <c r="D59" i="1"/>
  <c r="J59" i="1" s="1"/>
  <c r="R62" i="7"/>
  <c r="AA61" i="7"/>
  <c r="N41" i="1"/>
  <c r="N47" i="1"/>
  <c r="N50" i="1"/>
  <c r="N44" i="1"/>
  <c r="N38" i="1"/>
  <c r="K5" i="1"/>
  <c r="T15" i="1"/>
  <c r="J32" i="1"/>
  <c r="C16" i="1"/>
  <c r="H9" i="1"/>
  <c r="I9" i="1" s="1"/>
  <c r="I11" i="1"/>
  <c r="B8" i="4"/>
  <c r="C8" i="4" s="1"/>
  <c r="G8" i="4" s="1"/>
  <c r="D6" i="1"/>
  <c r="J6" i="1" s="1"/>
  <c r="K6" i="1" s="1"/>
  <c r="K20" i="3"/>
  <c r="L20" i="3" s="1"/>
  <c r="P20" i="3"/>
  <c r="B30" i="4"/>
  <c r="C30" i="4" s="1"/>
  <c r="I7" i="1"/>
  <c r="M9" i="1"/>
  <c r="I10" i="1"/>
  <c r="I4" i="1"/>
  <c r="H12" i="1"/>
  <c r="I12" i="1" s="1"/>
  <c r="H14" i="3"/>
  <c r="F63" i="7" l="1"/>
  <c r="AB62" i="7"/>
  <c r="B62" i="7"/>
  <c r="C62" i="7" s="1"/>
  <c r="D60" i="1"/>
  <c r="J60" i="1" s="1"/>
  <c r="N59" i="1" s="1"/>
  <c r="R63" i="7"/>
  <c r="AA62" i="7"/>
  <c r="B34" i="7"/>
  <c r="C34" i="7" s="1"/>
  <c r="AB34" i="7" s="1"/>
  <c r="M12" i="1"/>
  <c r="K21" i="3"/>
  <c r="L21" i="3" s="1"/>
  <c r="P21" i="3"/>
  <c r="B9" i="4"/>
  <c r="C9" i="4" s="1"/>
  <c r="G9" i="4" s="1"/>
  <c r="D7" i="1"/>
  <c r="J7" i="1" s="1"/>
  <c r="K7" i="1" s="1"/>
  <c r="B31" i="4"/>
  <c r="C31" i="4" s="1"/>
  <c r="H13" i="1"/>
  <c r="I13" i="1" s="1"/>
  <c r="H15" i="3"/>
  <c r="K4" i="1"/>
  <c r="F64" i="7" l="1"/>
  <c r="AB63" i="7"/>
  <c r="B63" i="7"/>
  <c r="C63" i="7" s="1"/>
  <c r="D61" i="1"/>
  <c r="J61" i="1" s="1"/>
  <c r="R64" i="7"/>
  <c r="AA63" i="7"/>
  <c r="J33" i="1"/>
  <c r="N32" i="1" s="1"/>
  <c r="P22" i="3"/>
  <c r="K22" i="3"/>
  <c r="L22" i="3" s="1"/>
  <c r="D8" i="1"/>
  <c r="J8" i="1" s="1"/>
  <c r="B10" i="4"/>
  <c r="C10" i="4" s="1"/>
  <c r="G10" i="4" s="1"/>
  <c r="B32" i="4"/>
  <c r="C32" i="4" s="1"/>
  <c r="M15" i="1"/>
  <c r="H14" i="1"/>
  <c r="H16" i="3"/>
  <c r="F65" i="7" l="1"/>
  <c r="AB64" i="7"/>
  <c r="B64" i="7"/>
  <c r="C64" i="7" s="1"/>
  <c r="D62" i="1"/>
  <c r="J62" i="1" s="1"/>
  <c r="R65" i="7"/>
  <c r="AA64" i="7"/>
  <c r="B35" i="7"/>
  <c r="C35" i="7" s="1"/>
  <c r="AB35" i="7" s="1"/>
  <c r="D9" i="1"/>
  <c r="J9" i="1" s="1"/>
  <c r="K9" i="1" s="1"/>
  <c r="B11" i="4"/>
  <c r="C11" i="4" s="1"/>
  <c r="G11" i="4" s="1"/>
  <c r="K8" i="1"/>
  <c r="K23" i="3"/>
  <c r="L23" i="3" s="1"/>
  <c r="P23" i="3"/>
  <c r="B33" i="4"/>
  <c r="C33" i="4" s="1"/>
  <c r="I14" i="1"/>
  <c r="H15" i="1"/>
  <c r="I15" i="1" s="1"/>
  <c r="H17" i="3"/>
  <c r="F66" i="7" l="1"/>
  <c r="AB65" i="7"/>
  <c r="B65" i="7"/>
  <c r="C65" i="7" s="1"/>
  <c r="D63" i="1"/>
  <c r="J63" i="1" s="1"/>
  <c r="N62" i="1" s="1"/>
  <c r="R66" i="7"/>
  <c r="AA65" i="7"/>
  <c r="B36" i="7"/>
  <c r="C36" i="7" s="1"/>
  <c r="AB36" i="7" s="1"/>
  <c r="L9" i="1"/>
  <c r="N9" i="1" s="1"/>
  <c r="P24" i="3"/>
  <c r="K24" i="3"/>
  <c r="L24" i="3" s="1"/>
  <c r="B12" i="4"/>
  <c r="C12" i="4" s="1"/>
  <c r="G12" i="4" s="1"/>
  <c r="D10" i="1"/>
  <c r="J10" i="1" s="1"/>
  <c r="M18" i="1"/>
  <c r="B34" i="4"/>
  <c r="C34" i="4" s="1"/>
  <c r="H16" i="1"/>
  <c r="I16" i="1" s="1"/>
  <c r="H18" i="3"/>
  <c r="H19" i="3" s="1"/>
  <c r="F67" i="7" l="1"/>
  <c r="AB66" i="7"/>
  <c r="B66" i="7"/>
  <c r="C66" i="7" s="1"/>
  <c r="D64" i="1"/>
  <c r="J64" i="1" s="1"/>
  <c r="R67" i="7"/>
  <c r="AA66" i="7"/>
  <c r="B37" i="7"/>
  <c r="C37" i="7" s="1"/>
  <c r="AB37" i="7" s="1"/>
  <c r="B13" i="4"/>
  <c r="C13" i="4" s="1"/>
  <c r="G13" i="4" s="1"/>
  <c r="D11" i="1"/>
  <c r="J11" i="1" s="1"/>
  <c r="K11" i="1" s="1"/>
  <c r="K10" i="1"/>
  <c r="P25" i="3"/>
  <c r="K25" i="3"/>
  <c r="L25" i="3" s="1"/>
  <c r="B35" i="4"/>
  <c r="C35" i="4" s="1"/>
  <c r="B19" i="3"/>
  <c r="C19" i="3" s="1"/>
  <c r="H17" i="1"/>
  <c r="R18" i="3"/>
  <c r="F68" i="7" l="1"/>
  <c r="AB67" i="7"/>
  <c r="R68" i="7"/>
  <c r="AA67" i="7"/>
  <c r="B67" i="7"/>
  <c r="C67" i="7" s="1"/>
  <c r="D65" i="1"/>
  <c r="J65" i="1" s="1"/>
  <c r="N35" i="1"/>
  <c r="C17" i="1"/>
  <c r="I17" i="1" s="1"/>
  <c r="K26" i="3"/>
  <c r="L26" i="3" s="1"/>
  <c r="P26" i="3"/>
  <c r="B14" i="4"/>
  <c r="C14" i="4" s="1"/>
  <c r="G14" i="4" s="1"/>
  <c r="D12" i="1"/>
  <c r="J12" i="1" s="1"/>
  <c r="B36" i="4"/>
  <c r="C36" i="4" s="1"/>
  <c r="B20" i="3"/>
  <c r="C20" i="3" s="1"/>
  <c r="H18" i="1"/>
  <c r="R19" i="3"/>
  <c r="H20" i="3"/>
  <c r="F69" i="7" l="1"/>
  <c r="AB68" i="7"/>
  <c r="B68" i="7"/>
  <c r="C68" i="7" s="1"/>
  <c r="D66" i="1"/>
  <c r="J66" i="1" s="1"/>
  <c r="R69" i="7"/>
  <c r="AA68" i="7"/>
  <c r="B38" i="7"/>
  <c r="C38" i="7" s="1"/>
  <c r="AB38" i="7" s="1"/>
  <c r="K12" i="1"/>
  <c r="L12" i="1"/>
  <c r="N12" i="1" s="1"/>
  <c r="P27" i="3"/>
  <c r="P28" i="3" s="1"/>
  <c r="K27" i="3"/>
  <c r="L27" i="3" s="1"/>
  <c r="B15" i="4"/>
  <c r="C15" i="4" s="1"/>
  <c r="G15" i="4" s="1"/>
  <c r="D13" i="1"/>
  <c r="J13" i="1" s="1"/>
  <c r="C18" i="1"/>
  <c r="B37" i="4"/>
  <c r="C37" i="4" s="1"/>
  <c r="M21" i="1"/>
  <c r="H21" i="3"/>
  <c r="B21" i="3"/>
  <c r="C21" i="3" s="1"/>
  <c r="H19" i="1"/>
  <c r="R20" i="3"/>
  <c r="C19" i="1" s="1"/>
  <c r="N65" i="1" l="1"/>
  <c r="F70" i="7"/>
  <c r="AB69" i="7"/>
  <c r="B69" i="7"/>
  <c r="C69" i="7" s="1"/>
  <c r="D67" i="1"/>
  <c r="J67" i="1" s="1"/>
  <c r="R70" i="7"/>
  <c r="AA69" i="7"/>
  <c r="B39" i="7"/>
  <c r="C39" i="7" s="1"/>
  <c r="AB39" i="7" s="1"/>
  <c r="I19" i="1"/>
  <c r="P29" i="3"/>
  <c r="K29" i="3"/>
  <c r="L29" i="3" s="1"/>
  <c r="K13" i="1"/>
  <c r="B16" i="4"/>
  <c r="C16" i="4" s="1"/>
  <c r="G16" i="4" s="1"/>
  <c r="D14" i="1"/>
  <c r="J14" i="1" s="1"/>
  <c r="K14" i="1" s="1"/>
  <c r="I18" i="1"/>
  <c r="R18" i="1"/>
  <c r="B38" i="4"/>
  <c r="C38" i="4" s="1"/>
  <c r="H22" i="3"/>
  <c r="R21" i="3"/>
  <c r="C20" i="1" s="1"/>
  <c r="B22" i="3"/>
  <c r="C22" i="3" s="1"/>
  <c r="H20" i="1"/>
  <c r="F71" i="7" l="1"/>
  <c r="AB70" i="7"/>
  <c r="B70" i="7"/>
  <c r="C70" i="7" s="1"/>
  <c r="D68" i="1"/>
  <c r="J68" i="1" s="1"/>
  <c r="R71" i="7"/>
  <c r="AA70" i="7"/>
  <c r="B40" i="7"/>
  <c r="C40" i="7" s="1"/>
  <c r="AB40" i="7" s="1"/>
  <c r="I20" i="1"/>
  <c r="B17" i="4"/>
  <c r="C17" i="4" s="1"/>
  <c r="G17" i="4" s="1"/>
  <c r="D15" i="1"/>
  <c r="J15" i="1" s="1"/>
  <c r="I16" i="4"/>
  <c r="P30" i="3"/>
  <c r="K30" i="3"/>
  <c r="L30" i="3" s="1"/>
  <c r="B39" i="4"/>
  <c r="C39" i="4" s="1"/>
  <c r="H23" i="3"/>
  <c r="B23" i="3"/>
  <c r="C23" i="3" s="1"/>
  <c r="R22" i="3"/>
  <c r="C21" i="1" s="1"/>
  <c r="H21" i="1"/>
  <c r="F72" i="7" l="1"/>
  <c r="AB71" i="7"/>
  <c r="B71" i="7"/>
  <c r="C71" i="7" s="1"/>
  <c r="D69" i="1"/>
  <c r="J69" i="1" s="1"/>
  <c r="N68" i="1" s="1"/>
  <c r="R72" i="7"/>
  <c r="AA71" i="7"/>
  <c r="I21" i="1"/>
  <c r="P31" i="3"/>
  <c r="K31" i="3"/>
  <c r="L31" i="3" s="1"/>
  <c r="K15" i="1"/>
  <c r="L15" i="1"/>
  <c r="N15" i="1" s="1"/>
  <c r="B18" i="4"/>
  <c r="C18" i="4" s="1"/>
  <c r="G18" i="4" s="1"/>
  <c r="D16" i="1"/>
  <c r="J16" i="1" s="1"/>
  <c r="B40" i="4"/>
  <c r="C40" i="4" s="1"/>
  <c r="M24" i="1"/>
  <c r="H24" i="3"/>
  <c r="B24" i="3"/>
  <c r="C24" i="3" s="1"/>
  <c r="R23" i="3"/>
  <c r="C22" i="1" s="1"/>
  <c r="H22" i="1"/>
  <c r="R21" i="1"/>
  <c r="F73" i="7" l="1"/>
  <c r="AB72" i="7"/>
  <c r="B72" i="7"/>
  <c r="C72" i="7" s="1"/>
  <c r="D70" i="1"/>
  <c r="J70" i="1" s="1"/>
  <c r="R73" i="7"/>
  <c r="AA72" i="7"/>
  <c r="B41" i="7"/>
  <c r="C41" i="7" s="1"/>
  <c r="AB41" i="7" s="1"/>
  <c r="K16" i="1"/>
  <c r="I22" i="1"/>
  <c r="D17" i="1"/>
  <c r="J17" i="1" s="1"/>
  <c r="K17" i="1" s="1"/>
  <c r="B19" i="4"/>
  <c r="C19" i="4" s="1"/>
  <c r="G19" i="4" s="1"/>
  <c r="P32" i="3"/>
  <c r="K32" i="3"/>
  <c r="L32" i="3" s="1"/>
  <c r="B41" i="4"/>
  <c r="C41" i="4" s="1"/>
  <c r="H25" i="3"/>
  <c r="B25" i="3"/>
  <c r="C25" i="3" s="1"/>
  <c r="R24" i="3"/>
  <c r="C23" i="1" s="1"/>
  <c r="H23" i="1"/>
  <c r="F74" i="7" l="1"/>
  <c r="AB73" i="7"/>
  <c r="B73" i="7"/>
  <c r="C73" i="7" s="1"/>
  <c r="D71" i="1"/>
  <c r="J71" i="1" s="1"/>
  <c r="R74" i="7"/>
  <c r="AA73" i="7"/>
  <c r="I23" i="1"/>
  <c r="P33" i="3"/>
  <c r="K33" i="3"/>
  <c r="L33" i="3" s="1"/>
  <c r="B20" i="4"/>
  <c r="C20" i="4" s="1"/>
  <c r="G20" i="4" s="1"/>
  <c r="D18" i="1"/>
  <c r="J18" i="1" s="1"/>
  <c r="K18" i="1" s="1"/>
  <c r="B42" i="4"/>
  <c r="C42" i="4" s="1"/>
  <c r="H26" i="3"/>
  <c r="B26" i="3"/>
  <c r="C26" i="3" s="1"/>
  <c r="R25" i="3"/>
  <c r="C24" i="1" s="1"/>
  <c r="H24" i="1"/>
  <c r="F75" i="7" l="1"/>
  <c r="AB74" i="7"/>
  <c r="R75" i="7"/>
  <c r="AA74" i="7"/>
  <c r="B74" i="7"/>
  <c r="C74" i="7" s="1"/>
  <c r="D72" i="1"/>
  <c r="J72" i="1" s="1"/>
  <c r="N71" i="1" s="1"/>
  <c r="B42" i="7"/>
  <c r="C42" i="7" s="1"/>
  <c r="AB42" i="7" s="1"/>
  <c r="I24" i="1"/>
  <c r="B21" i="4"/>
  <c r="C21" i="4" s="1"/>
  <c r="G21" i="4" s="1"/>
  <c r="D19" i="1"/>
  <c r="J19" i="1" s="1"/>
  <c r="L18" i="1"/>
  <c r="N18" i="1" s="1"/>
  <c r="P34" i="3"/>
  <c r="K34" i="3"/>
  <c r="L34" i="3" s="1"/>
  <c r="R24" i="1"/>
  <c r="B43" i="4"/>
  <c r="C43" i="4" s="1"/>
  <c r="H27" i="3"/>
  <c r="R26" i="3"/>
  <c r="C25" i="1" s="1"/>
  <c r="H25" i="1"/>
  <c r="B27" i="3"/>
  <c r="C27" i="3" s="1"/>
  <c r="F76" i="7" l="1"/>
  <c r="AB75" i="7"/>
  <c r="B75" i="7"/>
  <c r="C75" i="7" s="1"/>
  <c r="D73" i="1"/>
  <c r="J73" i="1" s="1"/>
  <c r="R76" i="7"/>
  <c r="AA76" i="7" s="1"/>
  <c r="D75" i="1" s="1"/>
  <c r="J75" i="1" s="1"/>
  <c r="AA75" i="7"/>
  <c r="P35" i="3"/>
  <c r="K35" i="3"/>
  <c r="L35" i="3" s="1"/>
  <c r="K19" i="1"/>
  <c r="B22" i="4"/>
  <c r="C22" i="4" s="1"/>
  <c r="G22" i="4" s="1"/>
  <c r="D20" i="1"/>
  <c r="J20" i="1" s="1"/>
  <c r="K20" i="1" s="1"/>
  <c r="I25" i="1"/>
  <c r="B44" i="4"/>
  <c r="C44" i="4" s="1"/>
  <c r="H28" i="3"/>
  <c r="K28" i="3" s="1"/>
  <c r="L28" i="3" s="1"/>
  <c r="B28" i="3"/>
  <c r="C28" i="3" s="1"/>
  <c r="R27" i="3"/>
  <c r="C26" i="1" s="1"/>
  <c r="H26" i="1"/>
  <c r="AB76" i="7" l="1"/>
  <c r="B76" i="7"/>
  <c r="C76" i="7" s="1"/>
  <c r="D74" i="1"/>
  <c r="J74" i="1" s="1"/>
  <c r="B43" i="7"/>
  <c r="C43" i="7" s="1"/>
  <c r="AB43" i="7" s="1"/>
  <c r="B23" i="4"/>
  <c r="C23" i="4" s="1"/>
  <c r="G23" i="4" s="1"/>
  <c r="D21" i="1"/>
  <c r="J21" i="1" s="1"/>
  <c r="P36" i="3"/>
  <c r="K36" i="3"/>
  <c r="L36" i="3" s="1"/>
  <c r="I26" i="1"/>
  <c r="B45" i="4"/>
  <c r="C45" i="4" s="1"/>
  <c r="H29" i="3"/>
  <c r="H27" i="1"/>
  <c r="M27" i="1" s="1"/>
  <c r="R28" i="3"/>
  <c r="B29" i="3"/>
  <c r="C29" i="3" s="1"/>
  <c r="N74" i="1" l="1"/>
  <c r="C27" i="1"/>
  <c r="I27" i="1" s="1"/>
  <c r="S28" i="3"/>
  <c r="P37" i="3"/>
  <c r="K37" i="3"/>
  <c r="L37" i="3" s="1"/>
  <c r="K21" i="1"/>
  <c r="L21" i="1"/>
  <c r="N21" i="1" s="1"/>
  <c r="D22" i="1"/>
  <c r="J22" i="1" s="1"/>
  <c r="B24" i="4"/>
  <c r="C24" i="4" s="1"/>
  <c r="G24" i="4" s="1"/>
  <c r="B46" i="4"/>
  <c r="C46" i="4" s="1"/>
  <c r="R29" i="3"/>
  <c r="C28" i="1" s="1"/>
  <c r="H30" i="3"/>
  <c r="H28" i="1"/>
  <c r="B30" i="3"/>
  <c r="C30" i="3" s="1"/>
  <c r="T27" i="1" l="1"/>
  <c r="R27" i="1"/>
  <c r="C44" i="7"/>
  <c r="AB44" i="7" s="1"/>
  <c r="B25" i="4"/>
  <c r="C25" i="4" s="1"/>
  <c r="G25" i="4" s="1"/>
  <c r="D23" i="1"/>
  <c r="J23" i="1" s="1"/>
  <c r="K23" i="1" s="1"/>
  <c r="K22" i="1"/>
  <c r="P38" i="3"/>
  <c r="K38" i="3"/>
  <c r="L38" i="3" s="1"/>
  <c r="I28" i="1"/>
  <c r="B47" i="4"/>
  <c r="C47" i="4" s="1"/>
  <c r="R30" i="3"/>
  <c r="C29" i="1" s="1"/>
  <c r="B31" i="3"/>
  <c r="C31" i="3" s="1"/>
  <c r="H29" i="1"/>
  <c r="H31" i="3"/>
  <c r="R30" i="1" s="1"/>
  <c r="P39" i="3" l="1"/>
  <c r="K39" i="3"/>
  <c r="L39" i="3" s="1"/>
  <c r="D24" i="1"/>
  <c r="J24" i="1" s="1"/>
  <c r="B26" i="4"/>
  <c r="C26" i="4" s="1"/>
  <c r="G26" i="4" s="1"/>
  <c r="I29" i="1"/>
  <c r="K29" i="1" s="1"/>
  <c r="B48" i="4"/>
  <c r="C48" i="4" s="1"/>
  <c r="K28" i="1"/>
  <c r="R31" i="3"/>
  <c r="T31" i="3" s="1"/>
  <c r="H30" i="1"/>
  <c r="M30" i="1" s="1"/>
  <c r="B32" i="3"/>
  <c r="C32" i="3" s="1"/>
  <c r="H32" i="3"/>
  <c r="C45" i="7" l="1"/>
  <c r="AB45" i="7" s="1"/>
  <c r="C30" i="1"/>
  <c r="I30" i="1" s="1"/>
  <c r="D25" i="1"/>
  <c r="J25" i="1" s="1"/>
  <c r="B27" i="4"/>
  <c r="C27" i="4" s="1"/>
  <c r="G27" i="4" s="1"/>
  <c r="K24" i="1"/>
  <c r="L24" i="1"/>
  <c r="N24" i="1" s="1"/>
  <c r="P40" i="3"/>
  <c r="K40" i="3"/>
  <c r="L40" i="3" s="1"/>
  <c r="B49" i="4"/>
  <c r="C49" i="4" s="1"/>
  <c r="R32" i="3"/>
  <c r="H31" i="1"/>
  <c r="H33" i="3"/>
  <c r="B33" i="3"/>
  <c r="C33" i="3" s="1"/>
  <c r="C31" i="1" l="1"/>
  <c r="I31" i="1" s="1"/>
  <c r="L30" i="1"/>
  <c r="N30" i="1" s="1"/>
  <c r="B28" i="4"/>
  <c r="C28" i="4" s="1"/>
  <c r="G28" i="4" s="1"/>
  <c r="D27" i="1" s="1"/>
  <c r="J27" i="1" s="1"/>
  <c r="K27" i="1" s="1"/>
  <c r="D26" i="1"/>
  <c r="J26" i="1" s="1"/>
  <c r="K26" i="1" s="1"/>
  <c r="P41" i="3"/>
  <c r="K41" i="3"/>
  <c r="L41" i="3" s="1"/>
  <c r="K25" i="1"/>
  <c r="B50" i="4"/>
  <c r="C50" i="4" s="1"/>
  <c r="K30" i="1"/>
  <c r="R33" i="3"/>
  <c r="C32" i="1" s="1"/>
  <c r="H34" i="3"/>
  <c r="R33" i="1" s="1"/>
  <c r="B34" i="3"/>
  <c r="C34" i="3" s="1"/>
  <c r="H32" i="1"/>
  <c r="C46" i="7" l="1"/>
  <c r="AB46" i="7" s="1"/>
  <c r="L27" i="1"/>
  <c r="N27" i="1" s="1"/>
  <c r="P27" i="1" s="1"/>
  <c r="K31" i="1"/>
  <c r="I32" i="1"/>
  <c r="P42" i="3"/>
  <c r="K42" i="3"/>
  <c r="L42" i="3" s="1"/>
  <c r="B51" i="4"/>
  <c r="C51" i="4" s="1"/>
  <c r="R34" i="3"/>
  <c r="C33" i="1" s="1"/>
  <c r="B35" i="3"/>
  <c r="C35" i="3" s="1"/>
  <c r="H35" i="3"/>
  <c r="H33" i="1"/>
  <c r="M33" i="1" s="1"/>
  <c r="I33" i="1" l="1"/>
  <c r="N31" i="1" s="1"/>
  <c r="T34" i="3"/>
  <c r="K32" i="1"/>
  <c r="P43" i="3"/>
  <c r="K43" i="3"/>
  <c r="L43" i="3" s="1"/>
  <c r="B52" i="4"/>
  <c r="C52" i="4" s="1"/>
  <c r="R35" i="3"/>
  <c r="B36" i="3"/>
  <c r="C36" i="3" s="1"/>
  <c r="H36" i="3"/>
  <c r="H34" i="1"/>
  <c r="L33" i="1" l="1"/>
  <c r="N33" i="1" s="1"/>
  <c r="C34" i="1"/>
  <c r="I34" i="1" s="1"/>
  <c r="C47" i="7"/>
  <c r="AB47" i="7" s="1"/>
  <c r="P44" i="3"/>
  <c r="K44" i="3"/>
  <c r="L44" i="3" s="1"/>
  <c r="R36" i="3"/>
  <c r="C35" i="1" s="1"/>
  <c r="H37" i="3"/>
  <c r="R36" i="1" s="1"/>
  <c r="B37" i="3"/>
  <c r="C37" i="3" s="1"/>
  <c r="H35" i="1"/>
  <c r="K33" i="1"/>
  <c r="I35" i="1" l="1"/>
  <c r="K35" i="1" s="1"/>
  <c r="K34" i="1"/>
  <c r="P45" i="3"/>
  <c r="K45" i="3"/>
  <c r="L45" i="3" s="1"/>
  <c r="R37" i="3"/>
  <c r="C36" i="1" s="1"/>
  <c r="H36" i="1"/>
  <c r="M36" i="1" s="1"/>
  <c r="H38" i="3"/>
  <c r="B38" i="3"/>
  <c r="C38" i="3" s="1"/>
  <c r="I36" i="1" l="1"/>
  <c r="N34" i="1" s="1"/>
  <c r="C48" i="7"/>
  <c r="AB48" i="7" s="1"/>
  <c r="P46" i="3"/>
  <c r="K46" i="3"/>
  <c r="L46" i="3" s="1"/>
  <c r="R38" i="3"/>
  <c r="C37" i="1" s="1"/>
  <c r="H37" i="1"/>
  <c r="B39" i="3"/>
  <c r="C39" i="3" s="1"/>
  <c r="H39" i="3"/>
  <c r="I37" i="1" l="1"/>
  <c r="K36" i="1"/>
  <c r="L36" i="1"/>
  <c r="N36" i="1" s="1"/>
  <c r="P47" i="3"/>
  <c r="K47" i="3"/>
  <c r="L47" i="3" s="1"/>
  <c r="R39" i="3"/>
  <c r="C38" i="1" s="1"/>
  <c r="B40" i="3"/>
  <c r="C40" i="3" s="1"/>
  <c r="H38" i="1"/>
  <c r="H40" i="3"/>
  <c r="R39" i="1" s="1"/>
  <c r="I38" i="1" l="1"/>
  <c r="K38" i="1" s="1"/>
  <c r="AB49" i="7"/>
  <c r="P48" i="3"/>
  <c r="K48" i="3"/>
  <c r="L48" i="3" s="1"/>
  <c r="R40" i="3"/>
  <c r="H41" i="3"/>
  <c r="B41" i="3"/>
  <c r="C41" i="3" s="1"/>
  <c r="H39" i="1"/>
  <c r="K37" i="1"/>
  <c r="M39" i="1" l="1"/>
  <c r="C39" i="1"/>
  <c r="I39" i="1" s="1"/>
  <c r="S40" i="3"/>
  <c r="P49" i="3"/>
  <c r="K49" i="3"/>
  <c r="L49" i="3" s="1"/>
  <c r="R41" i="3"/>
  <c r="H42" i="3"/>
  <c r="B42" i="3"/>
  <c r="C42" i="3" s="1"/>
  <c r="H40" i="1"/>
  <c r="N37" i="1" l="1"/>
  <c r="AB50" i="7"/>
  <c r="T39" i="1"/>
  <c r="C40" i="1"/>
  <c r="I40" i="1" s="1"/>
  <c r="P50" i="3"/>
  <c r="K50" i="3"/>
  <c r="L50" i="3" s="1"/>
  <c r="R42" i="3"/>
  <c r="C41" i="1" s="1"/>
  <c r="H41" i="1"/>
  <c r="B43" i="3"/>
  <c r="C43" i="3" s="1"/>
  <c r="H43" i="3"/>
  <c r="H44" i="3" s="1"/>
  <c r="I41" i="1" l="1"/>
  <c r="R42" i="1"/>
  <c r="K41" i="1"/>
  <c r="L39" i="1"/>
  <c r="N39" i="1" s="1"/>
  <c r="P39" i="1" s="1"/>
  <c r="K39" i="1"/>
  <c r="P51" i="3"/>
  <c r="K51" i="3"/>
  <c r="L51" i="3" s="1"/>
  <c r="R43" i="3"/>
  <c r="C42" i="1" s="1"/>
  <c r="I42" i="1" s="1"/>
  <c r="B44" i="3"/>
  <c r="C44" i="3" s="1"/>
  <c r="H42" i="1"/>
  <c r="M42" i="1" s="1"/>
  <c r="K40" i="1"/>
  <c r="L42" i="1" l="1"/>
  <c r="AB51" i="7"/>
  <c r="P52" i="3"/>
  <c r="K52" i="3"/>
  <c r="L52" i="3" s="1"/>
  <c r="R44" i="3"/>
  <c r="C43" i="1" s="1"/>
  <c r="H45" i="3"/>
  <c r="H43" i="1"/>
  <c r="B45" i="3"/>
  <c r="C45" i="3" s="1"/>
  <c r="I43" i="1" l="1"/>
  <c r="N40" i="1"/>
  <c r="R45" i="3"/>
  <c r="C44" i="1" s="1"/>
  <c r="I44" i="1" s="1"/>
  <c r="H44" i="1"/>
  <c r="H46" i="3"/>
  <c r="R45" i="1" s="1"/>
  <c r="B46" i="3"/>
  <c r="C46" i="3" s="1"/>
  <c r="K42" i="1"/>
  <c r="AB52" i="7" l="1"/>
  <c r="R46" i="3"/>
  <c r="C45" i="1" s="1"/>
  <c r="B47" i="3"/>
  <c r="C47" i="3" s="1"/>
  <c r="H45" i="1"/>
  <c r="M45" i="1" s="1"/>
  <c r="H47" i="3"/>
  <c r="K43" i="1"/>
  <c r="I45" i="1" l="1"/>
  <c r="N43" i="1" s="1"/>
  <c r="K44" i="1"/>
  <c r="R47" i="3"/>
  <c r="C46" i="1" s="1"/>
  <c r="B48" i="3"/>
  <c r="C48" i="3" s="1"/>
  <c r="H46" i="1"/>
  <c r="H48" i="3"/>
  <c r="I46" i="1" l="1"/>
  <c r="L45" i="1"/>
  <c r="K45" i="1"/>
  <c r="C47" i="1"/>
  <c r="I47" i="1" s="1"/>
  <c r="H47" i="1"/>
  <c r="H49" i="3"/>
  <c r="R48" i="1" s="1"/>
  <c r="C49" i="3"/>
  <c r="R49" i="3" l="1"/>
  <c r="C48" i="1" s="1"/>
  <c r="B50" i="3"/>
  <c r="C50" i="3" s="1"/>
  <c r="K47" i="1"/>
  <c r="K46" i="1"/>
  <c r="H50" i="3"/>
  <c r="H48" i="1"/>
  <c r="M48" i="1" s="1"/>
  <c r="I48" i="1" l="1"/>
  <c r="R50" i="3"/>
  <c r="C49" i="1" s="1"/>
  <c r="B51" i="3"/>
  <c r="C51" i="3" s="1"/>
  <c r="K48" i="1"/>
  <c r="H49" i="1"/>
  <c r="H51" i="3"/>
  <c r="I49" i="1" l="1"/>
  <c r="B52" i="3"/>
  <c r="C52" i="3" s="1"/>
  <c r="R51" i="3"/>
  <c r="C50" i="1" s="1"/>
  <c r="I50" i="1" s="1"/>
  <c r="N46" i="1"/>
  <c r="L48" i="1"/>
  <c r="N48" i="1" s="1"/>
  <c r="H50" i="1"/>
  <c r="H52" i="3"/>
  <c r="R51" i="1" s="1"/>
  <c r="R52" i="3" l="1"/>
  <c r="B53" i="3"/>
  <c r="C53" i="3" s="1"/>
  <c r="B54" i="3" s="1"/>
  <c r="C54" i="3" s="1"/>
  <c r="K50" i="1"/>
  <c r="K49" i="1"/>
  <c r="H51" i="1"/>
  <c r="B55" i="3" l="1"/>
  <c r="C55" i="3" s="1"/>
  <c r="C53" i="1"/>
  <c r="I53" i="1" s="1"/>
  <c r="M51" i="1"/>
  <c r="C51" i="1"/>
  <c r="S52" i="3"/>
  <c r="K53" i="1" l="1"/>
  <c r="V53" i="1"/>
  <c r="X53" i="1" s="1"/>
  <c r="B56" i="3"/>
  <c r="C56" i="3" s="1"/>
  <c r="C54" i="1"/>
  <c r="I54" i="1" s="1"/>
  <c r="T51" i="1"/>
  <c r="K54" i="1" l="1"/>
  <c r="V54" i="1"/>
  <c r="B57" i="3"/>
  <c r="C57" i="3" s="1"/>
  <c r="C55" i="1"/>
  <c r="I55" i="1" s="1"/>
  <c r="L54" i="1"/>
  <c r="N54" i="1" s="1"/>
  <c r="N52" i="1"/>
  <c r="N49" i="1"/>
  <c r="K51" i="1"/>
  <c r="L51" i="1"/>
  <c r="N51" i="1" s="1"/>
  <c r="P51" i="1" s="1"/>
  <c r="X54" i="1" l="1"/>
  <c r="W54" i="1"/>
  <c r="V55" i="1"/>
  <c r="K55" i="1"/>
  <c r="B58" i="3"/>
  <c r="C58" i="3" s="1"/>
  <c r="C56" i="1"/>
  <c r="I56" i="1" s="1"/>
  <c r="X55" i="1" l="1"/>
  <c r="K56" i="1"/>
  <c r="V56" i="1"/>
  <c r="B59" i="3"/>
  <c r="C59" i="3" s="1"/>
  <c r="C57" i="1"/>
  <c r="I57" i="1" s="1"/>
  <c r="X56" i="1" l="1"/>
  <c r="K57" i="1"/>
  <c r="V57" i="1"/>
  <c r="W57" i="1" s="1"/>
  <c r="N55" i="1"/>
  <c r="L57" i="1"/>
  <c r="N57" i="1" s="1"/>
  <c r="B60" i="3"/>
  <c r="C60" i="3" s="1"/>
  <c r="C58" i="1"/>
  <c r="I58" i="1" s="1"/>
  <c r="X57" i="1" l="1"/>
  <c r="V58" i="1"/>
  <c r="K58" i="1"/>
  <c r="B61" i="3"/>
  <c r="C61" i="3" s="1"/>
  <c r="C59" i="1"/>
  <c r="I59" i="1" s="1"/>
  <c r="X58" i="1" l="1"/>
  <c r="V59" i="1"/>
  <c r="B62" i="3"/>
  <c r="C62" i="3" s="1"/>
  <c r="C60" i="1"/>
  <c r="I60" i="1" s="1"/>
  <c r="K59" i="1"/>
  <c r="X59" i="1" l="1"/>
  <c r="K60" i="1"/>
  <c r="V60" i="1"/>
  <c r="W60" i="1" s="1"/>
  <c r="N58" i="1"/>
  <c r="B63" i="3"/>
  <c r="C63" i="3" s="1"/>
  <c r="C61" i="1"/>
  <c r="I61" i="1" s="1"/>
  <c r="L60" i="1"/>
  <c r="N60" i="1" s="1"/>
  <c r="X60" i="1" l="1"/>
  <c r="V61" i="1"/>
  <c r="K61" i="1"/>
  <c r="B64" i="3"/>
  <c r="C64" i="3" s="1"/>
  <c r="C62" i="1"/>
  <c r="I62" i="1" s="1"/>
  <c r="X61" i="1" l="1"/>
  <c r="K62" i="1"/>
  <c r="V62" i="1"/>
  <c r="B65" i="3"/>
  <c r="C65" i="3" s="1"/>
  <c r="C63" i="1"/>
  <c r="I63" i="1" s="1"/>
  <c r="X62" i="1" l="1"/>
  <c r="V63" i="1"/>
  <c r="W63" i="1" s="1"/>
  <c r="N61" i="1"/>
  <c r="O77" i="1" s="1"/>
  <c r="K63" i="1"/>
  <c r="L63" i="1"/>
  <c r="N63" i="1" s="1"/>
  <c r="P63" i="1" s="1"/>
  <c r="B66" i="3"/>
  <c r="C66" i="3" s="1"/>
  <c r="C64" i="1"/>
  <c r="I64" i="1" s="1"/>
  <c r="X63" i="1" l="1"/>
  <c r="V64" i="1"/>
  <c r="K64" i="1"/>
  <c r="B67" i="3"/>
  <c r="C67" i="3" s="1"/>
  <c r="C65" i="1"/>
  <c r="I65" i="1" s="1"/>
  <c r="X64" i="1" l="1"/>
  <c r="K65" i="1"/>
  <c r="V65" i="1"/>
  <c r="B68" i="3"/>
  <c r="C68" i="3" s="1"/>
  <c r="C66" i="1"/>
  <c r="I66" i="1" s="1"/>
  <c r="X65" i="1" l="1"/>
  <c r="K66" i="1"/>
  <c r="V66" i="1"/>
  <c r="W66" i="1" s="1"/>
  <c r="N64" i="1"/>
  <c r="B69" i="3"/>
  <c r="C69" i="3" s="1"/>
  <c r="C67" i="1"/>
  <c r="I67" i="1" s="1"/>
  <c r="L66" i="1"/>
  <c r="N66" i="1" s="1"/>
  <c r="X66" i="1" l="1"/>
  <c r="V67" i="1"/>
  <c r="K67" i="1"/>
  <c r="B70" i="3"/>
  <c r="C70" i="3" s="1"/>
  <c r="C68" i="1"/>
  <c r="I68" i="1" s="1"/>
  <c r="X67" i="1" l="1"/>
  <c r="K68" i="1"/>
  <c r="V68" i="1"/>
  <c r="B71" i="3"/>
  <c r="C71" i="3" s="1"/>
  <c r="C69" i="1"/>
  <c r="I69" i="1" s="1"/>
  <c r="X68" i="1" l="1"/>
  <c r="K69" i="1"/>
  <c r="V69" i="1"/>
  <c r="W69" i="1" s="1"/>
  <c r="B72" i="3"/>
  <c r="C72" i="3" s="1"/>
  <c r="C70" i="1"/>
  <c r="I70" i="1" s="1"/>
  <c r="X69" i="1" l="1"/>
  <c r="L69" i="1"/>
  <c r="N69" i="1" s="1"/>
  <c r="V70" i="1"/>
  <c r="N67" i="1"/>
  <c r="K70" i="1"/>
  <c r="B73" i="3"/>
  <c r="C73" i="3" s="1"/>
  <c r="C71" i="1"/>
  <c r="I71" i="1" s="1"/>
  <c r="X70" i="1" l="1"/>
  <c r="K71" i="1"/>
  <c r="V71" i="1"/>
  <c r="B74" i="3"/>
  <c r="C74" i="3" s="1"/>
  <c r="C72" i="1"/>
  <c r="I72" i="1" s="1"/>
  <c r="X71" i="1" l="1"/>
  <c r="N70" i="1"/>
  <c r="V72" i="1"/>
  <c r="W72" i="1" s="1"/>
  <c r="B75" i="3"/>
  <c r="C75" i="3" s="1"/>
  <c r="C73" i="1"/>
  <c r="I73" i="1" s="1"/>
  <c r="X72" i="1" l="1"/>
  <c r="K73" i="1"/>
  <c r="V73" i="1"/>
  <c r="K72" i="1"/>
  <c r="L72" i="1"/>
  <c r="N72" i="1" s="1"/>
  <c r="B76" i="3"/>
  <c r="C76" i="3" s="1"/>
  <c r="C74" i="1"/>
  <c r="I74" i="1" s="1"/>
  <c r="X73" i="1" l="1"/>
  <c r="K74" i="1"/>
  <c r="V74" i="1"/>
  <c r="B77" i="3"/>
  <c r="C77" i="3" s="1"/>
  <c r="B78" i="3" s="1"/>
  <c r="C78" i="3" s="1"/>
  <c r="B79" i="3" s="1"/>
  <c r="C79" i="3" s="1"/>
  <c r="B80" i="3" s="1"/>
  <c r="C80" i="3" s="1"/>
  <c r="B81" i="3" s="1"/>
  <c r="C81" i="3" s="1"/>
  <c r="C75" i="1"/>
  <c r="I75" i="1" s="1"/>
  <c r="X74" i="1" l="1"/>
  <c r="K75" i="1"/>
  <c r="V75" i="1"/>
  <c r="V77" i="1" s="1"/>
  <c r="N73" i="1"/>
  <c r="L75" i="1"/>
  <c r="N75" i="1" s="1"/>
  <c r="P75" i="1" s="1"/>
  <c r="X75" i="1" l="1"/>
  <c r="W75" i="1"/>
</calcChain>
</file>

<file path=xl/sharedStrings.xml><?xml version="1.0" encoding="utf-8"?>
<sst xmlns="http://schemas.openxmlformats.org/spreadsheetml/2006/main" count="459" uniqueCount="242">
  <si>
    <t>Oljepris Tawke</t>
  </si>
  <si>
    <t>DNO andel Tawke</t>
  </si>
  <si>
    <t>Samlet</t>
  </si>
  <si>
    <t>Oljepris</t>
  </si>
  <si>
    <t>Days in month</t>
  </si>
  <si>
    <t>Estimat DNO inntekter (USD)</t>
  </si>
  <si>
    <t>https://www.eia.gov/dnav/pet/hist/LeafHandler.ashx?n=PET&amp;s=RBRTE&amp;f=M</t>
  </si>
  <si>
    <t>Måned</t>
  </si>
  <si>
    <t>Forrige måned</t>
  </si>
  <si>
    <t>Decline</t>
  </si>
  <si>
    <t>Estimat</t>
  </si>
  <si>
    <t>Tawke</t>
  </si>
  <si>
    <t>Reell</t>
  </si>
  <si>
    <t>Decline faktor:</t>
  </si>
  <si>
    <t>Erbil</t>
  </si>
  <si>
    <t>Ny produksjon</t>
  </si>
  <si>
    <t>Jeribe</t>
  </si>
  <si>
    <t>Info</t>
  </si>
  <si>
    <t>Reservoir 1</t>
  </si>
  <si>
    <t>Reservoir 2</t>
  </si>
  <si>
    <t>Ingen</t>
  </si>
  <si>
    <t>Ny inc. decline</t>
  </si>
  <si>
    <t>Tawke 35</t>
  </si>
  <si>
    <t>Tawke 38, Tawke 39</t>
  </si>
  <si>
    <t>Tawke 42</t>
  </si>
  <si>
    <t>Tawke 41</t>
  </si>
  <si>
    <t>Sum</t>
  </si>
  <si>
    <t>Hawler 1A</t>
  </si>
  <si>
    <t>Hawler XX</t>
  </si>
  <si>
    <t>Produksjon Kurdistan</t>
  </si>
  <si>
    <t>Oman</t>
  </si>
  <si>
    <t>Bukha</t>
  </si>
  <si>
    <t>West Bukha</t>
  </si>
  <si>
    <t>WB 5-B</t>
  </si>
  <si>
    <t>Bukha 1</t>
  </si>
  <si>
    <t>Estimat 2017</t>
  </si>
  <si>
    <t>Estimat 2018</t>
  </si>
  <si>
    <t>Estimat 2019</t>
  </si>
  <si>
    <t>Estimat 2020</t>
  </si>
  <si>
    <t>Gjeldsinntekter</t>
  </si>
  <si>
    <t>Gj. Snitt 2017:</t>
  </si>
  <si>
    <t>Gj. Snitt 2018:</t>
  </si>
  <si>
    <t>Gj. Snitt 2019:</t>
  </si>
  <si>
    <t>Gj. Snitt 2020:</t>
  </si>
  <si>
    <t>Kvartalsinntekter estimert</t>
  </si>
  <si>
    <t>Revenue per Q Estimert</t>
  </si>
  <si>
    <t>Revenue per Q rapportert</t>
  </si>
  <si>
    <t>Kurstrend for DNO</t>
  </si>
  <si>
    <t>Rapportert eksport per dag</t>
  </si>
  <si>
    <t>Tawke 43</t>
  </si>
  <si>
    <t>Tawke 45</t>
  </si>
  <si>
    <t>Snitt est eksport per år (boed)</t>
  </si>
  <si>
    <t>Reell eksp.</t>
  </si>
  <si>
    <t>Estimert eksport per dag (per Q)</t>
  </si>
  <si>
    <t>Pesh 3</t>
  </si>
  <si>
    <t>Tawke 46, 44</t>
  </si>
  <si>
    <t>Kurdistan</t>
  </si>
  <si>
    <t>Tawke cret</t>
  </si>
  <si>
    <t>Peshkabir</t>
  </si>
  <si>
    <t>Tawke 48</t>
  </si>
  <si>
    <t>Revenue per år. Estimert</t>
  </si>
  <si>
    <t>Sluttkurser</t>
  </si>
  <si>
    <t>Pesh 7</t>
  </si>
  <si>
    <t>Pesh 4, 5</t>
  </si>
  <si>
    <t>Pesh 6, T-50, T-51</t>
  </si>
  <si>
    <t>Tawke 49</t>
  </si>
  <si>
    <t>Pesh 8</t>
  </si>
  <si>
    <t>Norge-UK</t>
  </si>
  <si>
    <t>Tawke 52, Pesh 9</t>
  </si>
  <si>
    <t>Felt</t>
  </si>
  <si>
    <t>DNO andel Oman/NCS</t>
  </si>
  <si>
    <t>Produksjon Oman/NCS</t>
  </si>
  <si>
    <t>Oljepris Oman/NCS</t>
  </si>
  <si>
    <t>Tawke xx, Pesh 10</t>
  </si>
  <si>
    <t>Land</t>
  </si>
  <si>
    <t>Lisensnr.</t>
  </si>
  <si>
    <t>Operatør</t>
  </si>
  <si>
    <t>DNO Andel</t>
  </si>
  <si>
    <t>Faktaside</t>
  </si>
  <si>
    <t>Status</t>
  </si>
  <si>
    <t>Norge</t>
  </si>
  <si>
    <t>http://factpages.npd.no/FactPages/default.aspx?nav1=licence&amp;nav2=PageView|All&amp;nav3=27160027</t>
  </si>
  <si>
    <t>Funn</t>
  </si>
  <si>
    <t>248F</t>
  </si>
  <si>
    <t>Blokknr.</t>
  </si>
  <si>
    <t>35/11</t>
  </si>
  <si>
    <t>Wintershall</t>
  </si>
  <si>
    <t>Lisensnavn</t>
  </si>
  <si>
    <t>Syrah and Antares</t>
  </si>
  <si>
    <t>http://factpages.npd.no/FactPages/default.aspx?nav1=licence&amp;nav2=PageView|All&amp;nav3=28225653</t>
  </si>
  <si>
    <t>Uboret</t>
  </si>
  <si>
    <t>35/8  35/11</t>
  </si>
  <si>
    <t>248 GS</t>
  </si>
  <si>
    <t>35/7  35/8</t>
  </si>
  <si>
    <t>248 HS</t>
  </si>
  <si>
    <t>35/10</t>
  </si>
  <si>
    <t>PL293 B</t>
  </si>
  <si>
    <t>Equinor</t>
  </si>
  <si>
    <t>http://factpages.npd.no/ReportServer?/FactPages/PageView/licence&amp;rs:Command=Render&amp;rc:Toolbar=false&amp;rc:Parameters=f&amp;NpdId=21695786&amp;IpAddress=80.254.154.67&amp;CultureCode=nb-no</t>
  </si>
  <si>
    <t>006 C</t>
  </si>
  <si>
    <t>2/5</t>
  </si>
  <si>
    <t>DNO North Sea</t>
  </si>
  <si>
    <t>http://factpages.npd.no/ReportServer?/FactPages/PageView/licence&amp;rs:Command=Render&amp;rc:Toolbar=false&amp;rc:Parameters=f&amp;NpdId=1333089&amp;IpAddress=80.254.154.67&amp;CultureCode=nb-no</t>
  </si>
  <si>
    <t>Tørr / Shows</t>
  </si>
  <si>
    <t>Kommentar</t>
  </si>
  <si>
    <t>Antagelig uinteressant</t>
  </si>
  <si>
    <t>006 E</t>
  </si>
  <si>
    <t>http://factpages.npd.no/ReportServer?/FactPages/PageView/licence&amp;rs:Command=Render&amp;rc:Toolbar=false&amp;rc:Parameters=f&amp;NpdId=30977683&amp;IpAddress=80.254.154.67&amp;CultureCode=nb-no</t>
  </si>
  <si>
    <t>http://factpages.npd.no/ReportServer?/FactPages/PageView/licence&amp;rs:Command=Render&amp;rc:Toolbar=false&amp;rc:Parameters=f&amp;NpdId=34041810&amp;IpAddress=80.254.154.67&amp;CultureCode=nb-no</t>
  </si>
  <si>
    <t>006 F</t>
  </si>
  <si>
    <t>7/12</t>
  </si>
  <si>
    <t>Aker BP</t>
  </si>
  <si>
    <t>Produserer</t>
  </si>
  <si>
    <t>Ula</t>
  </si>
  <si>
    <t>http://factpages.npd.no/ReportServer?/FactPages/PageView/licence&amp;rs:Command=Render&amp;rc:Toolbar=false&amp;rc:Parameters=f&amp;NpdId=20916&amp;IpAddress=80.254.154.67&amp;CultureCode=nb-no</t>
  </si>
  <si>
    <t>http://factpages.npd.no/ReportServer?/FactPages/PageView/licence&amp;rs:Command=Render&amp;rc:Toolbar=false&amp;rc:Parameters=f&amp;NpdId=30978084&amp;IpAddress=80.254.154.67&amp;CultureCode=nb-no</t>
  </si>
  <si>
    <t>019</t>
  </si>
  <si>
    <t>019 E</t>
  </si>
  <si>
    <t>http://factpages.npd.no/ReportServer?/FactPages/PageView/licence&amp;rs:Command=Render&amp;rc:Toolbar=false&amp;rc:Parameters=f&amp;NpdId=34041830&amp;IpAddress=80.254.154.67&amp;CultureCode=nb-no</t>
  </si>
  <si>
    <t>019 H</t>
  </si>
  <si>
    <t>25/4</t>
  </si>
  <si>
    <t>http://factpages.npd.no/ReportServer?/FactPages/PageView/licence&amp;rs:Command=Render&amp;rc:Toolbar=false&amp;rc:Parameters=f&amp;NpdId=5081703&amp;IpAddress=80.254.154.67&amp;CultureCode=nb-no</t>
  </si>
  <si>
    <t>036 D</t>
  </si>
  <si>
    <t>Vilje</t>
  </si>
  <si>
    <t>15/5</t>
  </si>
  <si>
    <t>048 D</t>
  </si>
  <si>
    <t>http://factpages.npd.no/ReportServer?/FactPages/PageView/licence&amp;rs:Command=Render&amp;rc:Toolbar=false&amp;rc:Parameters=f&amp;NpdId=3489553&amp;IpAddress=80.254.154.99&amp;CultureCode=nb-no</t>
  </si>
  <si>
    <t>Enoch</t>
  </si>
  <si>
    <t>20% av Enoch på Norsk side</t>
  </si>
  <si>
    <t>http://factpages.npd.no/ReportServer?/FactPages/PageView/licence&amp;rs:Command=Render&amp;rc:Toolbar=false&amp;rc:Parameters=f&amp;NpdId=48207&amp;IpAddress=80.254.154.99&amp;CultureCode=en</t>
  </si>
  <si>
    <t>30/6</t>
  </si>
  <si>
    <t>053 B</t>
  </si>
  <si>
    <t>Brage</t>
  </si>
  <si>
    <t>31/4</t>
  </si>
  <si>
    <t>055</t>
  </si>
  <si>
    <t>http://factpages.npd.no/ReportServer?/FactPages/PageView/licence&amp;rs:Command=Render&amp;rc:Toolbar=false&amp;rc:Parameters=f&amp;NpdId=21236&amp;IpAddress=80.254.154.67&amp;CultureCode=en</t>
  </si>
  <si>
    <t>055 B</t>
  </si>
  <si>
    <t>http://factpages.npd.no/ReportServer?/FactPages/PageView/licence&amp;rs:Command=Render&amp;rc:Toolbar=false&amp;rc:Parameters=f&amp;NpdId=102499&amp;IpAddress=80.254.154.67&amp;CultureCode=en</t>
  </si>
  <si>
    <t>055 D</t>
  </si>
  <si>
    <t>http://factpages.npd.no/ReportServer?/FactPages/PageView/licence&amp;rs:Command=Render&amp;rc:Toolbar=false&amp;rc:Parameters=f&amp;NpdId=22813096&amp;IpAddress=80.254.154.67&amp;CultureCode=en</t>
  </si>
  <si>
    <t>1/3</t>
  </si>
  <si>
    <t>065</t>
  </si>
  <si>
    <t>http://factpages.npd.no/ReportServer?/FactPages/PageView/licence&amp;rs:Command=Render&amp;rc:Toolbar=false&amp;rc:Parameters=f&amp;NpdId=21316&amp;IpAddress=80.254.154.67&amp;CultureCode=en</t>
  </si>
  <si>
    <t>Tambar</t>
  </si>
  <si>
    <t>065 B</t>
  </si>
  <si>
    <t>http://factpages.npd.no/ReportServer?/FactPages/PageView/licence&amp;rs:Command=Render&amp;rc:Toolbar=false&amp;rc:Parameters=f&amp;NpdId=30977515&amp;IpAddress=80.254.154.67&amp;CultureCode=en</t>
  </si>
  <si>
    <t>(Tambar)</t>
  </si>
  <si>
    <t>640x</t>
  </si>
  <si>
    <t>1006</t>
  </si>
  <si>
    <t>http://factpages.npd.no/ReportServer?/FactPages/PageView/licence&amp;rs:Command=Render&amp;rc:Toolbar=false&amp;rc:Parameters=f&amp;NpdId=34040194&amp;IpAddress=80.254.154.67&amp;CultureCode=en</t>
  </si>
  <si>
    <t>6506/7-8-10</t>
  </si>
  <si>
    <t>1007</t>
  </si>
  <si>
    <t>http://factpages.npd.no/ReportServer?/FactPages/PageView/licence&amp;rs:Command=Render&amp;rc:Toolbar=false&amp;rc:Parameters=f&amp;NpdId=34040259&amp;IpAddress=80.254.154.67&amp;CultureCode=en</t>
  </si>
  <si>
    <t>6507/2</t>
  </si>
  <si>
    <t>122</t>
  </si>
  <si>
    <t>Vår Energy</t>
  </si>
  <si>
    <t>Marulk</t>
  </si>
  <si>
    <t>http://factpages.npd.no/ReportServer?/FactPages/PageView/licence&amp;rs:Command=Render&amp;rc:Toolbar=false&amp;rc:Parameters=f&amp;NpdId=21788&amp;IpAddress=80.254.154.67&amp;CultureCode=en</t>
  </si>
  <si>
    <t>6507/3</t>
  </si>
  <si>
    <t>122 B</t>
  </si>
  <si>
    <t>http://factpages.npd.no/ReportServer?/FactPages/PageView/licence&amp;rs:Command=Render&amp;rc:Toolbar=false&amp;rc:Parameters=f&amp;NpdId=2134110&amp;IpAddress=80.254.154.67&amp;CultureCode=en</t>
  </si>
  <si>
    <t>http://factpages.npd.no/ReportServer?/FactPages/PageView/licence&amp;rs:Command=Render&amp;rc:Toolbar=false&amp;rc:Parameters=f&amp;NpdId=2987454&amp;IpAddress=80.254.154.67&amp;CultureCode=en</t>
  </si>
  <si>
    <t>6607/12</t>
  </si>
  <si>
    <t>122 C</t>
  </si>
  <si>
    <t>6607/11</t>
  </si>
  <si>
    <t>122 D</t>
  </si>
  <si>
    <t>http://factpages.npd.no/ReportServer?/FactPages/PageView/licence&amp;rs:Command=Render&amp;rc:Toolbar=false&amp;rc:Parameters=f&amp;NpdId=3811939&amp;IpAddress=80.254.154.67&amp;CultureCode=en</t>
  </si>
  <si>
    <t>http://factpages.npd.no/ReportServer?/FactPages/PageView/licence&amp;rs:Command=Render&amp;rc:Toolbar=false&amp;rc:Parameters=f&amp;NpdId=21988&amp;IpAddress=80.254.154.67&amp;CultureCode=en</t>
  </si>
  <si>
    <t>03/1</t>
  </si>
  <si>
    <t>147</t>
  </si>
  <si>
    <t>Trym</t>
  </si>
  <si>
    <t>http://factpages.npd.no/ReportServer?/FactPages/PageView/licence&amp;rs:Command=Render&amp;rc:Toolbar=false&amp;rc:Parameters=f&amp;NpdId=2819945&amp;IpAddress=80.254.154.67&amp;CultureCode=en</t>
  </si>
  <si>
    <t>159B</t>
  </si>
  <si>
    <t>Alve</t>
  </si>
  <si>
    <t>25/8</t>
  </si>
  <si>
    <t>http://factpages.npd.no/ReportServer?/FactPages/PageView/licence&amp;rs:Command=Render&amp;rc:Toolbar=false&amp;rc:Parameters=f&amp;NpdId=21124742&amp;IpAddress=80.254.154.99&amp;CultureCode=en</t>
  </si>
  <si>
    <t>169 E</t>
  </si>
  <si>
    <t>Ringhorne Øst</t>
  </si>
  <si>
    <t>31/7</t>
  </si>
  <si>
    <t>185</t>
  </si>
  <si>
    <t>http://factpages.npd.no/ReportServer?/FactPages/PageView/licence&amp;rs:Command=Render&amp;rc:Toolbar=false&amp;rc:Parameters=f&amp;NpdId=22292&amp;IpAddress=80.254.154.99&amp;CultureCode=en</t>
  </si>
  <si>
    <t>274</t>
  </si>
  <si>
    <t>http://factpages.npd.no/ReportServer?/FactPages/PageView/licence&amp;rs:Command=Render&amp;rc:Toolbar=false&amp;rc:Parameters=f&amp;NpdId=2060266&amp;IpAddress=80.254.154.99&amp;CultureCode=en</t>
  </si>
  <si>
    <t>Oselvar</t>
  </si>
  <si>
    <t>http://factpages.npd.no/ReportServer?/FactPages/PageView/licence&amp;rs:Command=Render&amp;rc:Toolbar=false&amp;rc:Parameters=f&amp;NpdId=4909658&amp;IpAddress=80.254.154.99&amp;CultureCode=en</t>
  </si>
  <si>
    <t>1/2</t>
  </si>
  <si>
    <t>274 CS</t>
  </si>
  <si>
    <t>2/1</t>
  </si>
  <si>
    <t>300</t>
  </si>
  <si>
    <t>http://factpages.npd.no/ReportServer?/FactPages/PageView/licence&amp;rs:Command=Render&amp;rc:Toolbar=false&amp;rc:Parameters=f&amp;NpdId=2490354&amp;IpAddress=80.254.154.99&amp;CultureCode=en</t>
  </si>
  <si>
    <t>Tambar Øst</t>
  </si>
  <si>
    <t>8/10</t>
  </si>
  <si>
    <t>405</t>
  </si>
  <si>
    <t>http://factpages.npd.no/ReportServer?/FactPages/PageView/licence&amp;rs:Command=Render&amp;rc:Toolbar=false&amp;rc:Parameters=f&amp;NpdId=4237284&amp;IpAddress=80.254.154.99&amp;CultureCode=en</t>
  </si>
  <si>
    <t>Spirit Energy</t>
  </si>
  <si>
    <t>Oda</t>
  </si>
  <si>
    <t>6506/9-12</t>
  </si>
  <si>
    <t>433</t>
  </si>
  <si>
    <t>http://factpages.npd.no/ReportServer?/FactPages/PageView/licence&amp;rs:Command=Render&amp;rc:Toolbar=false&amp;rc:Parameters=f&amp;NpdId=4238654&amp;IpAddress=80.254.154.99&amp;CultureCode=en</t>
  </si>
  <si>
    <t>Fogelberg</t>
  </si>
  <si>
    <t>http://factpages.npd.no/ReportServer?/FactPages/PageView/licence&amp;rs:Command=Render&amp;rc:Toolbar=false&amp;rc:Parameters=f&amp;NpdId=20109200&amp;IpAddress=80.254.154.99&amp;CultureCode=en</t>
  </si>
  <si>
    <t>6406/11-12</t>
  </si>
  <si>
    <t xml:space="preserve">Neptune </t>
  </si>
  <si>
    <t>Fenja</t>
  </si>
  <si>
    <t>6506/8-10-11</t>
  </si>
  <si>
    <t>644</t>
  </si>
  <si>
    <t>http://factpages.npd.no/ReportServer?/FactPages/PageView/licence&amp;rs:Command=Render&amp;rc:Toolbar=false&amp;rc:Parameters=f&amp;NpdId=21559648&amp;IpAddress=80.254.154.99&amp;CultureCode=en</t>
  </si>
  <si>
    <t>Hades / Iris</t>
  </si>
  <si>
    <t>Eierandel / Decline faktor:</t>
  </si>
  <si>
    <t>Sm3 totalt</t>
  </si>
  <si>
    <t>boed</t>
  </si>
  <si>
    <t>Shut Down</t>
  </si>
  <si>
    <t>Midl. avstengt pga trykk</t>
  </si>
  <si>
    <t>Blane</t>
  </si>
  <si>
    <t>Comments</t>
  </si>
  <si>
    <t>Oda i produksjon</t>
  </si>
  <si>
    <t>Produksjonsgrafer fra forskjellige felt (DNO's andel)</t>
  </si>
  <si>
    <t>Tawke 23SE</t>
  </si>
  <si>
    <t>Tawke 56 NE, Pesh 12</t>
  </si>
  <si>
    <t>Kurdistan:</t>
  </si>
  <si>
    <t>NCS:</t>
  </si>
  <si>
    <t>Pesh 11</t>
  </si>
  <si>
    <t>Tawke 58</t>
  </si>
  <si>
    <t>Tawke 59</t>
  </si>
  <si>
    <t>NCS</t>
  </si>
  <si>
    <t>Revenue per år. Rapportert</t>
  </si>
  <si>
    <t>Estimat 2021</t>
  </si>
  <si>
    <t>Estimat 2022</t>
  </si>
  <si>
    <t>Gj. Snitt 2021:</t>
  </si>
  <si>
    <t>Peshkabir 14</t>
  </si>
  <si>
    <t>Peshkabir 15</t>
  </si>
  <si>
    <t>Tawke sidetrack</t>
  </si>
  <si>
    <t>Peshkabir 17, Tawke 70</t>
  </si>
  <si>
    <t>Tawke 71</t>
  </si>
  <si>
    <t>Tawke 72</t>
  </si>
  <si>
    <t>Tawke 73</t>
  </si>
  <si>
    <t>Gj. Snitt 2022:</t>
  </si>
  <si>
    <t>Gjeldsbetaling</t>
  </si>
  <si>
    <t>Override betaling Kurdistan</t>
  </si>
  <si>
    <t>Reell override betaling</t>
  </si>
  <si>
    <t>Per Q</t>
  </si>
  <si>
    <t>Akkumulert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</si>
</sst>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d\.mm\.yy"/>
    <numFmt numFmtId="165" formatCode="#,##0.00###"/>
    <numFmt numFmtId="166" formatCode="dd/mm/yy;@"/>
    <numFmt numFmtId="167" formatCode="yyyy\-mm\-dd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41">
    <xf numFmtId="0" fontId="0" fillId="0" borderId="0" xfId="0"/>
    <xf numFmtId="17" fontId="0" fillId="0" borderId="0" xfId="0" applyNumberFormat="1"/>
    <xf numFmtId="3" fontId="0" fillId="0" borderId="0" xfId="0" applyNumberFormat="1"/>
    <xf numFmtId="0" fontId="1" fillId="0" borderId="0" xfId="1"/>
    <xf numFmtId="10" fontId="0" fillId="2" borderId="0" xfId="0" applyNumberFormat="1" applyFill="1"/>
    <xf numFmtId="10" fontId="0" fillId="0" borderId="0" xfId="0" applyNumberFormat="1" applyFill="1"/>
    <xf numFmtId="0" fontId="2" fillId="0" borderId="0" xfId="0" applyFont="1"/>
    <xf numFmtId="10" fontId="0" fillId="0" borderId="0" xfId="0" quotePrefix="1" applyNumberFormat="1" applyFill="1"/>
    <xf numFmtId="1" fontId="0" fillId="0" borderId="0" xfId="0" applyNumberFormat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/>
    <xf numFmtId="0" fontId="0" fillId="0" borderId="0" xfId="0" applyAlignment="1">
      <alignment wrapText="1"/>
    </xf>
    <xf numFmtId="3" fontId="0" fillId="2" borderId="0" xfId="0" applyNumberFormat="1" applyFill="1"/>
    <xf numFmtId="3" fontId="0" fillId="0" borderId="0" xfId="0" applyNumberFormat="1" applyFill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164" fontId="3" fillId="0" borderId="0" xfId="2" applyNumberFormat="1"/>
    <xf numFmtId="165" fontId="3" fillId="0" borderId="0" xfId="2" applyNumberFormat="1"/>
    <xf numFmtId="49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10" fontId="0" fillId="4" borderId="1" xfId="0" applyNumberFormat="1" applyFill="1" applyBorder="1" applyAlignment="1">
      <alignment horizontal="center"/>
    </xf>
    <xf numFmtId="0" fontId="0" fillId="0" borderId="1" xfId="0" applyBorder="1"/>
    <xf numFmtId="1" fontId="0" fillId="4" borderId="1" xfId="0" applyNumberFormat="1" applyFill="1" applyBorder="1"/>
    <xf numFmtId="0" fontId="4" fillId="0" borderId="0" xfId="0" applyFont="1"/>
    <xf numFmtId="0" fontId="0" fillId="0" borderId="0" xfId="0" applyAlignment="1">
      <alignment horizontal="center"/>
    </xf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0" fontId="2" fillId="4" borderId="2" xfId="0" applyNumberFormat="1" applyFont="1" applyFill="1" applyBorder="1" applyAlignment="1">
      <alignment horizontal="center"/>
    </xf>
    <xf numFmtId="10" fontId="2" fillId="4" borderId="3" xfId="0" applyNumberFormat="1" applyFont="1" applyFill="1" applyBorder="1" applyAlignment="1">
      <alignment horizontal="center"/>
    </xf>
    <xf numFmtId="10" fontId="2" fillId="0" borderId="0" xfId="0" quotePrefix="1" applyNumberFormat="1" applyFont="1" applyFill="1" applyAlignment="1">
      <alignment horizontal="center"/>
    </xf>
    <xf numFmtId="10" fontId="2" fillId="0" borderId="4" xfId="0" quotePrefix="1" applyNumberFormat="1" applyFont="1" applyFill="1" applyBorder="1" applyAlignment="1">
      <alignment horizontal="center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ULA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'Norge-UK'!$A$29:$A$76</c:f>
              <c:numCache>
                <c:formatCode>mmm\-yy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'Norge-UK'!$F$29:$F$76</c:f>
              <c:numCache>
                <c:formatCode>#,##0</c:formatCode>
                <c:ptCount val="48"/>
                <c:pt idx="0">
                  <c:v>1403.4369870967741</c:v>
                </c:pt>
                <c:pt idx="1">
                  <c:v>1362.1460442857142</c:v>
                </c:pt>
                <c:pt idx="2">
                  <c:v>1693.9445883870967</c:v>
                </c:pt>
                <c:pt idx="3">
                  <c:v>1229.9494240000001</c:v>
                </c:pt>
                <c:pt idx="4">
                  <c:v>1076.3673870967741</c:v>
                </c:pt>
                <c:pt idx="5">
                  <c:v>4.1931999999999998E-5</c:v>
                </c:pt>
                <c:pt idx="6">
                  <c:v>1183.0099316129033</c:v>
                </c:pt>
                <c:pt idx="7">
                  <c:v>1145.0276554838711</c:v>
                </c:pt>
                <c:pt idx="8">
                  <c:v>1350.797448</c:v>
                </c:pt>
                <c:pt idx="9">
                  <c:v>1138.4132206451611</c:v>
                </c:pt>
                <c:pt idx="10">
                  <c:v>975.12866000000008</c:v>
                </c:pt>
                <c:pt idx="11">
                  <c:v>929.75417806451617</c:v>
                </c:pt>
                <c:pt idx="12">
                  <c:v>1365.9010838709676</c:v>
                </c:pt>
                <c:pt idx="13">
                  <c:v>1167.5170137931034</c:v>
                </c:pt>
                <c:pt idx="14">
                  <c:v>1145.5146077419354</c:v>
                </c:pt>
                <c:pt idx="15">
                  <c:v>1021.6731799999999</c:v>
                </c:pt>
                <c:pt idx="16">
                  <c:v>922.08467999999993</c:v>
                </c:pt>
                <c:pt idx="17">
                  <c:v>1077.149216</c:v>
                </c:pt>
                <c:pt idx="18">
                  <c:v>1079.1673625806452</c:v>
                </c:pt>
                <c:pt idx="19">
                  <c:v>822.86815741935482</c:v>
                </c:pt>
                <c:pt idx="20">
                  <c:v>1019.4927160000001</c:v>
                </c:pt>
                <c:pt idx="21">
                  <c:v>1704.0488477419353</c:v>
                </c:pt>
                <c:pt idx="22">
                  <c:v>1602.766836</c:v>
                </c:pt>
                <c:pt idx="23">
                  <c:v>1334.2897664516129</c:v>
                </c:pt>
                <c:pt idx="24">
                  <c:v>1416.0165870967744</c:v>
                </c:pt>
                <c:pt idx="25">
                  <c:v>1236.9340971428571</c:v>
                </c:pt>
                <c:pt idx="26">
                  <c:v>1249.3034381142857</c:v>
                </c:pt>
                <c:pt idx="27">
                  <c:v>1261.7964724954286</c:v>
                </c:pt>
                <c:pt idx="28">
                  <c:v>1274.414437220383</c:v>
                </c:pt>
                <c:pt idx="29">
                  <c:v>1287.1585815925869</c:v>
                </c:pt>
                <c:pt idx="30">
                  <c:v>1300.0301674085126</c:v>
                </c:pt>
                <c:pt idx="31">
                  <c:v>1313.0304690825978</c:v>
                </c:pt>
                <c:pt idx="32">
                  <c:v>1326.1607737734239</c:v>
                </c:pt>
                <c:pt idx="33">
                  <c:v>1339.4223815111582</c:v>
                </c:pt>
                <c:pt idx="34">
                  <c:v>1352.8166053262698</c:v>
                </c:pt>
                <c:pt idx="35">
                  <c:v>1366.3447713795326</c:v>
                </c:pt>
                <c:pt idx="36">
                  <c:v>1380.0082190933279</c:v>
                </c:pt>
                <c:pt idx="37">
                  <c:v>1393.8083012842612</c:v>
                </c:pt>
                <c:pt idx="38">
                  <c:v>1407.7463842971038</c:v>
                </c:pt>
                <c:pt idx="39">
                  <c:v>1421.8238481400747</c:v>
                </c:pt>
                <c:pt idx="40">
                  <c:v>1436.0420866214754</c:v>
                </c:pt>
                <c:pt idx="41">
                  <c:v>1450.4025074876902</c:v>
                </c:pt>
                <c:pt idx="42">
                  <c:v>1464.906532562567</c:v>
                </c:pt>
                <c:pt idx="43">
                  <c:v>1479.5555978881928</c:v>
                </c:pt>
                <c:pt idx="44">
                  <c:v>1494.3511538670748</c:v>
                </c:pt>
                <c:pt idx="45">
                  <c:v>1509.2946654057455</c:v>
                </c:pt>
                <c:pt idx="46">
                  <c:v>1524.3876120598029</c:v>
                </c:pt>
                <c:pt idx="47">
                  <c:v>1539.631488180401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32-408A-971C-9267366A3624}"/>
            </c:ext>
          </c:extLst>
        </c:ser>
        <c:ser>
          <c:idx val="1"/>
          <c:order val="1"/>
          <c:tx>
            <c:strRef>
              <c:f>'Norge-UK'!$G$1:$H$1</c:f>
              <c:strCache>
                <c:ptCount val="1"/>
                <c:pt idx="0">
                  <c:v>Vilje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'Norge-UK'!$A$29:$A$76</c:f>
              <c:numCache>
                <c:formatCode>mmm\-yy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'Norge-UK'!$H$29:$H$76</c:f>
              <c:numCache>
                <c:formatCode>#,##0</c:formatCode>
                <c:ptCount val="48"/>
                <c:pt idx="0">
                  <c:v>2115.2325437163868</c:v>
                </c:pt>
                <c:pt idx="1">
                  <c:v>2389.1141119583567</c:v>
                </c:pt>
                <c:pt idx="2">
                  <c:v>2540.4216825687095</c:v>
                </c:pt>
                <c:pt idx="3">
                  <c:v>2232.2595658197997</c:v>
                </c:pt>
                <c:pt idx="4">
                  <c:v>1881.8849039717418</c:v>
                </c:pt>
                <c:pt idx="5">
                  <c:v>250.07888797319998</c:v>
                </c:pt>
                <c:pt idx="6">
                  <c:v>5.8541806258064517E-6</c:v>
                </c:pt>
                <c:pt idx="7">
                  <c:v>5.7956388195483873E-6</c:v>
                </c:pt>
                <c:pt idx="8">
                  <c:v>5.7376824313529032E-6</c:v>
                </c:pt>
                <c:pt idx="9">
                  <c:v>2158.2022295098063</c:v>
                </c:pt>
                <c:pt idx="10">
                  <c:v>2239.458256596</c:v>
                </c:pt>
                <c:pt idx="11">
                  <c:v>2235.3017883516773</c:v>
                </c:pt>
                <c:pt idx="12">
                  <c:v>2191.3368918518709</c:v>
                </c:pt>
                <c:pt idx="13">
                  <c:v>2088.9553474384138</c:v>
                </c:pt>
                <c:pt idx="14">
                  <c:v>1558.9097588459999</c:v>
                </c:pt>
                <c:pt idx="15">
                  <c:v>1515.7781073885999</c:v>
                </c:pt>
                <c:pt idx="16">
                  <c:v>1435.1523804164515</c:v>
                </c:pt>
                <c:pt idx="17">
                  <c:v>1456.4342783848001</c:v>
                </c:pt>
                <c:pt idx="18">
                  <c:v>1403.8325140683869</c:v>
                </c:pt>
                <c:pt idx="19">
                  <c:v>1207.893088522645</c:v>
                </c:pt>
                <c:pt idx="20">
                  <c:v>1246.4623818789998</c:v>
                </c:pt>
                <c:pt idx="21">
                  <c:v>1332.9383866898709</c:v>
                </c:pt>
                <c:pt idx="22">
                  <c:v>1225.4107483486</c:v>
                </c:pt>
                <c:pt idx="23">
                  <c:v>1250.2188144472259</c:v>
                </c:pt>
                <c:pt idx="24">
                  <c:v>1179.3246870687096</c:v>
                </c:pt>
                <c:pt idx="25">
                  <c:v>1129.6456921223571</c:v>
                </c:pt>
                <c:pt idx="26">
                  <c:v>1118.3492352011335</c:v>
                </c:pt>
                <c:pt idx="27">
                  <c:v>1107.1657428491221</c:v>
                </c:pt>
                <c:pt idx="28">
                  <c:v>1096.094085420631</c:v>
                </c:pt>
                <c:pt idx="29">
                  <c:v>1085.1331445664248</c:v>
                </c:pt>
                <c:pt idx="30">
                  <c:v>1074.2818131207605</c:v>
                </c:pt>
                <c:pt idx="31">
                  <c:v>1063.538994989553</c:v>
                </c:pt>
                <c:pt idx="32">
                  <c:v>1052.9036050396574</c:v>
                </c:pt>
                <c:pt idx="33">
                  <c:v>1042.3745689892608</c:v>
                </c:pt>
                <c:pt idx="34">
                  <c:v>1031.950823299368</c:v>
                </c:pt>
                <c:pt idx="35">
                  <c:v>1021.6313150663743</c:v>
                </c:pt>
                <c:pt idx="36">
                  <c:v>1011.4150019157106</c:v>
                </c:pt>
                <c:pt idx="37">
                  <c:v>1001.3008518965535</c:v>
                </c:pt>
                <c:pt idx="38">
                  <c:v>991.28784337758793</c:v>
                </c:pt>
                <c:pt idx="39">
                  <c:v>981.37496494381207</c:v>
                </c:pt>
                <c:pt idx="40">
                  <c:v>971.56121529437394</c:v>
                </c:pt>
                <c:pt idx="41">
                  <c:v>961.84560314143016</c:v>
                </c:pt>
                <c:pt idx="42">
                  <c:v>952.22714711001584</c:v>
                </c:pt>
                <c:pt idx="43">
                  <c:v>942.70487563891572</c:v>
                </c:pt>
                <c:pt idx="44">
                  <c:v>933.2778268825266</c:v>
                </c:pt>
                <c:pt idx="45">
                  <c:v>923.94504861370137</c:v>
                </c:pt>
                <c:pt idx="46">
                  <c:v>914.70559812756437</c:v>
                </c:pt>
                <c:pt idx="47">
                  <c:v>905.55854214628869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32-408A-971C-9267366A3624}"/>
            </c:ext>
          </c:extLst>
        </c:ser>
        <c:ser>
          <c:idx val="2"/>
          <c:order val="2"/>
          <c:tx>
            <c:strRef>
              <c:f>'Norge-UK'!$I$1:$J$1</c:f>
              <c:strCache>
                <c:ptCount val="1"/>
                <c:pt idx="0">
                  <c:v>Enoch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'Norge-UK'!$A$29:$A$76</c:f>
              <c:numCache>
                <c:formatCode>mmm\-yy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'Norge-UK'!$J$29:$J$76</c:f>
              <c:numCache>
                <c:formatCode>#,##0</c:formatCode>
                <c:ptCount val="48"/>
                <c:pt idx="0">
                  <c:v>148.90330492258062</c:v>
                </c:pt>
                <c:pt idx="1">
                  <c:v>179.02343249999998</c:v>
                </c:pt>
                <c:pt idx="2">
                  <c:v>191.2261517419355</c:v>
                </c:pt>
                <c:pt idx="3">
                  <c:v>1.4529437999999996E-3</c:v>
                </c:pt>
                <c:pt idx="4">
                  <c:v>1.4384143619999995E-3</c:v>
                </c:pt>
                <c:pt idx="5">
                  <c:v>219.83039693999999</c:v>
                </c:pt>
                <c:pt idx="6">
                  <c:v>1.4060746451612904E-5</c:v>
                </c:pt>
                <c:pt idx="7">
                  <c:v>19.685045032258063</c:v>
                </c:pt>
                <c:pt idx="8">
                  <c:v>139.91848794000001</c:v>
                </c:pt>
                <c:pt idx="9">
                  <c:v>64.398218748387094</c:v>
                </c:pt>
                <c:pt idx="10">
                  <c:v>140.9355486</c:v>
                </c:pt>
                <c:pt idx="11">
                  <c:v>1.4060746451612902E-8</c:v>
                </c:pt>
                <c:pt idx="12">
                  <c:v>155.93367814838709</c:v>
                </c:pt>
                <c:pt idx="13">
                  <c:v>153.31062165517241</c:v>
                </c:pt>
                <c:pt idx="14">
                  <c:v>123.45335384516129</c:v>
                </c:pt>
                <c:pt idx="15">
                  <c:v>4.0682426399999994</c:v>
                </c:pt>
                <c:pt idx="16">
                  <c:v>125.98428820645161</c:v>
                </c:pt>
                <c:pt idx="17">
                  <c:v>181.47268062000001</c:v>
                </c:pt>
                <c:pt idx="18">
                  <c:v>151.43423928387094</c:v>
                </c:pt>
                <c:pt idx="19">
                  <c:v>30.793034729032254</c:v>
                </c:pt>
                <c:pt idx="20">
                  <c:v>1.4529437999999999E-4</c:v>
                </c:pt>
                <c:pt idx="21">
                  <c:v>17.01350320645161</c:v>
                </c:pt>
                <c:pt idx="22">
                  <c:v>161.85793931999996</c:v>
                </c:pt>
                <c:pt idx="23">
                  <c:v>128.23400763870967</c:v>
                </c:pt>
                <c:pt idx="24">
                  <c:v>141.87293169677417</c:v>
                </c:pt>
                <c:pt idx="25">
                  <c:v>172.48518540000001</c:v>
                </c:pt>
                <c:pt idx="26">
                  <c:v>170.760333546</c:v>
                </c:pt>
                <c:pt idx="27">
                  <c:v>169.05273021054001</c:v>
                </c:pt>
                <c:pt idx="28">
                  <c:v>167.3622029084346</c:v>
                </c:pt>
                <c:pt idx="29">
                  <c:v>165.68858087935024</c:v>
                </c:pt>
                <c:pt idx="30">
                  <c:v>164.03169507055674</c:v>
                </c:pt>
                <c:pt idx="31">
                  <c:v>162.39137811985117</c:v>
                </c:pt>
                <c:pt idx="32">
                  <c:v>160.76746433865264</c:v>
                </c:pt>
                <c:pt idx="33">
                  <c:v>159.15978969526611</c:v>
                </c:pt>
                <c:pt idx="34">
                  <c:v>157.56819179831345</c:v>
                </c:pt>
                <c:pt idx="35">
                  <c:v>155.99250988033032</c:v>
                </c:pt>
                <c:pt idx="36">
                  <c:v>154.43258478152703</c:v>
                </c:pt>
                <c:pt idx="37">
                  <c:v>152.88825893371177</c:v>
                </c:pt>
                <c:pt idx="38">
                  <c:v>151.35937634437465</c:v>
                </c:pt>
                <c:pt idx="39">
                  <c:v>149.84578258093092</c:v>
                </c:pt>
                <c:pt idx="40">
                  <c:v>148.3473247551216</c:v>
                </c:pt>
                <c:pt idx="41">
                  <c:v>146.86385150757039</c:v>
                </c:pt>
                <c:pt idx="42">
                  <c:v>145.39521299249469</c:v>
                </c:pt>
                <c:pt idx="43">
                  <c:v>143.94126086256975</c:v>
                </c:pt>
                <c:pt idx="44">
                  <c:v>142.50184825394405</c:v>
                </c:pt>
                <c:pt idx="45">
                  <c:v>141.07682977140462</c:v>
                </c:pt>
                <c:pt idx="46">
                  <c:v>139.66606147369058</c:v>
                </c:pt>
                <c:pt idx="47">
                  <c:v>138.26940085895367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32-408A-971C-9267366A3624}"/>
            </c:ext>
          </c:extLst>
        </c:ser>
        <c:ser>
          <c:idx val="3"/>
          <c:order val="3"/>
          <c:tx>
            <c:strRef>
              <c:f>'Norge-UK'!$K$1:$L$1</c:f>
              <c:strCache>
                <c:ptCount val="1"/>
                <c:pt idx="0">
                  <c:v>Brage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'Norge-UK'!$A$29:$A$76</c:f>
              <c:numCache>
                <c:formatCode>mmm\-yy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'Norge-UK'!$L$29:$L$76</c:f>
              <c:numCache>
                <c:formatCode>#,##0</c:formatCode>
                <c:ptCount val="48"/>
                <c:pt idx="0">
                  <c:v>1351.2092683941676</c:v>
                </c:pt>
                <c:pt idx="1">
                  <c:v>1413.3875647609927</c:v>
                </c:pt>
                <c:pt idx="2">
                  <c:v>1346.9860162708258</c:v>
                </c:pt>
                <c:pt idx="3">
                  <c:v>1606.0217886305998</c:v>
                </c:pt>
                <c:pt idx="4">
                  <c:v>1567.0290224507032</c:v>
                </c:pt>
                <c:pt idx="5">
                  <c:v>2052.76665468072</c:v>
                </c:pt>
                <c:pt idx="6">
                  <c:v>1710.8799321039869</c:v>
                </c:pt>
                <c:pt idx="7">
                  <c:v>1615.2203788718516</c:v>
                </c:pt>
                <c:pt idx="8">
                  <c:v>1537.6619927884601</c:v>
                </c:pt>
                <c:pt idx="9">
                  <c:v>1317.0182820257419</c:v>
                </c:pt>
                <c:pt idx="10">
                  <c:v>1496.7716557915001</c:v>
                </c:pt>
                <c:pt idx="11">
                  <c:v>1403.7395824762839</c:v>
                </c:pt>
                <c:pt idx="12">
                  <c:v>1348.981936794871</c:v>
                </c:pt>
                <c:pt idx="13">
                  <c:v>1852.3100026209099</c:v>
                </c:pt>
                <c:pt idx="14">
                  <c:v>1847.4124665024385</c:v>
                </c:pt>
                <c:pt idx="15">
                  <c:v>1787.457713756</c:v>
                </c:pt>
                <c:pt idx="16">
                  <c:v>1255.4050832400001</c:v>
                </c:pt>
                <c:pt idx="17">
                  <c:v>1625.3311144347199</c:v>
                </c:pt>
                <c:pt idx="18">
                  <c:v>1645.4195241921871</c:v>
                </c:pt>
                <c:pt idx="19">
                  <c:v>1694.0737027638386</c:v>
                </c:pt>
                <c:pt idx="20">
                  <c:v>1512.6734535125399</c:v>
                </c:pt>
                <c:pt idx="21">
                  <c:v>1468.7950210063934</c:v>
                </c:pt>
                <c:pt idx="22">
                  <c:v>1622.4317265043796</c:v>
                </c:pt>
                <c:pt idx="23">
                  <c:v>1506.6885845788452</c:v>
                </c:pt>
                <c:pt idx="24">
                  <c:v>1404.8677114681354</c:v>
                </c:pt>
                <c:pt idx="25">
                  <c:v>1211.9783155646569</c:v>
                </c:pt>
                <c:pt idx="26">
                  <c:v>1199.8585324090104</c:v>
                </c:pt>
                <c:pt idx="27">
                  <c:v>1187.8599470849203</c:v>
                </c:pt>
                <c:pt idx="28">
                  <c:v>1175.9813476140712</c:v>
                </c:pt>
                <c:pt idx="29">
                  <c:v>1164.2215341379306</c:v>
                </c:pt>
                <c:pt idx="30">
                  <c:v>1152.5793187965512</c:v>
                </c:pt>
                <c:pt idx="31">
                  <c:v>1141.0535256085857</c:v>
                </c:pt>
                <c:pt idx="32">
                  <c:v>1129.6429903524997</c:v>
                </c:pt>
                <c:pt idx="33">
                  <c:v>1118.3465604489747</c:v>
                </c:pt>
                <c:pt idx="34">
                  <c:v>1107.1630948444849</c:v>
                </c:pt>
                <c:pt idx="35">
                  <c:v>1096.0914638960401</c:v>
                </c:pt>
                <c:pt idx="36">
                  <c:v>1085.1305492570796</c:v>
                </c:pt>
                <c:pt idx="37">
                  <c:v>1074.2792437645087</c:v>
                </c:pt>
                <c:pt idx="38">
                  <c:v>1063.5364513268637</c:v>
                </c:pt>
                <c:pt idx="39">
                  <c:v>1052.9010868135952</c:v>
                </c:pt>
                <c:pt idx="40">
                  <c:v>1042.3720759454593</c:v>
                </c:pt>
                <c:pt idx="41">
                  <c:v>1031.9483551860046</c:v>
                </c:pt>
                <c:pt idx="42">
                  <c:v>1021.6288716341446</c:v>
                </c:pt>
                <c:pt idx="43">
                  <c:v>1011.4125829178032</c:v>
                </c:pt>
                <c:pt idx="44">
                  <c:v>1001.2984570886251</c:v>
                </c:pt>
                <c:pt idx="45">
                  <c:v>991.28547251773887</c:v>
                </c:pt>
                <c:pt idx="46">
                  <c:v>981.37261779256153</c:v>
                </c:pt>
                <c:pt idx="47">
                  <c:v>971.55889161463597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332-408A-971C-9267366A3624}"/>
            </c:ext>
          </c:extLst>
        </c:ser>
        <c:ser>
          <c:idx val="4"/>
          <c:order val="4"/>
          <c:tx>
            <c:strRef>
              <c:f>'Norge-UK'!$M$1:$N$1</c:f>
              <c:strCache>
                <c:ptCount val="1"/>
                <c:pt idx="0">
                  <c:v>Tambar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'Norge-UK'!$A$29:$A$76</c:f>
              <c:numCache>
                <c:formatCode>mmm\-yy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'Norge-UK'!$N$29:$N$76</c:f>
              <c:numCache>
                <c:formatCode>#,##0</c:formatCode>
                <c:ptCount val="48"/>
                <c:pt idx="0">
                  <c:v>1791.5582264516127</c:v>
                </c:pt>
                <c:pt idx="1">
                  <c:v>1083.2383414285714</c:v>
                </c:pt>
                <c:pt idx="2">
                  <c:v>1883.5922032258065</c:v>
                </c:pt>
                <c:pt idx="3">
                  <c:v>1851.1824869999998</c:v>
                </c:pt>
                <c:pt idx="4">
                  <c:v>1346.0882138709678</c:v>
                </c:pt>
                <c:pt idx="5">
                  <c:v>9.434700000000001E-5</c:v>
                </c:pt>
                <c:pt idx="6">
                  <c:v>1561.4732845161291</c:v>
                </c:pt>
                <c:pt idx="7">
                  <c:v>1693.9547332258064</c:v>
                </c:pt>
                <c:pt idx="8">
                  <c:v>2745.3090060000004</c:v>
                </c:pt>
                <c:pt idx="9">
                  <c:v>1825.9796641935482</c:v>
                </c:pt>
                <c:pt idx="10">
                  <c:v>2130.7326480000002</c:v>
                </c:pt>
                <c:pt idx="11">
                  <c:v>3300.6232741935482</c:v>
                </c:pt>
                <c:pt idx="12">
                  <c:v>3022.5126658064519</c:v>
                </c:pt>
                <c:pt idx="13">
                  <c:v>3020.7306724137934</c:v>
                </c:pt>
                <c:pt idx="14">
                  <c:v>2691.6286064516125</c:v>
                </c:pt>
                <c:pt idx="15">
                  <c:v>3313.7496809999998</c:v>
                </c:pt>
                <c:pt idx="16">
                  <c:v>2698.1111583870966</c:v>
                </c:pt>
                <c:pt idx="17">
                  <c:v>1049.0442930000002</c:v>
                </c:pt>
                <c:pt idx="18">
                  <c:v>1593.7947406451613</c:v>
                </c:pt>
                <c:pt idx="19">
                  <c:v>2378.7313461290323</c:v>
                </c:pt>
                <c:pt idx="20">
                  <c:v>1946.7559979999999</c:v>
                </c:pt>
                <c:pt idx="21">
                  <c:v>797.81040580645163</c:v>
                </c:pt>
                <c:pt idx="22">
                  <c:v>448.43129099999999</c:v>
                </c:pt>
                <c:pt idx="23">
                  <c:v>1391.5573809677419</c:v>
                </c:pt>
                <c:pt idx="24">
                  <c:v>1379.2314019354837</c:v>
                </c:pt>
                <c:pt idx="25">
                  <c:v>1381.1389939285714</c:v>
                </c:pt>
                <c:pt idx="26">
                  <c:v>1339.7048241107143</c:v>
                </c:pt>
                <c:pt idx="27">
                  <c:v>1299.5136793873928</c:v>
                </c:pt>
                <c:pt idx="28">
                  <c:v>1260.5282690057711</c:v>
                </c:pt>
                <c:pt idx="29">
                  <c:v>1222.7124209355979</c:v>
                </c:pt>
                <c:pt idx="30">
                  <c:v>1186.03104830753</c:v>
                </c:pt>
                <c:pt idx="31">
                  <c:v>1150.450116858304</c:v>
                </c:pt>
                <c:pt idx="32">
                  <c:v>1115.9366133525548</c:v>
                </c:pt>
                <c:pt idx="33">
                  <c:v>1082.458514951978</c:v>
                </c:pt>
                <c:pt idx="34">
                  <c:v>1049.9847595034187</c:v>
                </c:pt>
                <c:pt idx="35">
                  <c:v>1018.4852167183161</c:v>
                </c:pt>
                <c:pt idx="36">
                  <c:v>987.93066021676668</c:v>
                </c:pt>
                <c:pt idx="37">
                  <c:v>958.29274041026372</c:v>
                </c:pt>
                <c:pt idx="38">
                  <c:v>929.54395819795582</c:v>
                </c:pt>
                <c:pt idx="39">
                  <c:v>901.65763945201718</c:v>
                </c:pt>
                <c:pt idx="40">
                  <c:v>874.60791026845664</c:v>
                </c:pt>
                <c:pt idx="41">
                  <c:v>848.36967296040291</c:v>
                </c:pt>
                <c:pt idx="42">
                  <c:v>822.91858277159088</c:v>
                </c:pt>
                <c:pt idx="43">
                  <c:v>798.23102528844311</c:v>
                </c:pt>
                <c:pt idx="44">
                  <c:v>774.28409452978985</c:v>
                </c:pt>
                <c:pt idx="45">
                  <c:v>751.05557169389613</c:v>
                </c:pt>
                <c:pt idx="46">
                  <c:v>728.5239045430792</c:v>
                </c:pt>
                <c:pt idx="47">
                  <c:v>706.66818740678684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332-408A-971C-9267366A3624}"/>
            </c:ext>
          </c:extLst>
        </c:ser>
        <c:ser>
          <c:idx val="5"/>
          <c:order val="5"/>
          <c:tx>
            <c:strRef>
              <c:f>'Norge-UK'!$O$1:$P$1</c:f>
              <c:strCache>
                <c:ptCount val="1"/>
                <c:pt idx="0">
                  <c:v>Ringhorne Øst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'Norge-UK'!$A$29:$A$76</c:f>
              <c:numCache>
                <c:formatCode>mmm\-yy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'Norge-UK'!$P$29:$P$76</c:f>
              <c:numCache>
                <c:formatCode>#,##0</c:formatCode>
                <c:ptCount val="48"/>
                <c:pt idx="0">
                  <c:v>1188.9164596064516</c:v>
                </c:pt>
                <c:pt idx="1">
                  <c:v>1339.52172354</c:v>
                </c:pt>
                <c:pt idx="2">
                  <c:v>1223.7050593509678</c:v>
                </c:pt>
                <c:pt idx="3">
                  <c:v>1319.9351605439999</c:v>
                </c:pt>
                <c:pt idx="4">
                  <c:v>1089.3237664064516</c:v>
                </c:pt>
                <c:pt idx="5">
                  <c:v>908.23793689199999</c:v>
                </c:pt>
                <c:pt idx="6">
                  <c:v>1084.1834983703227</c:v>
                </c:pt>
                <c:pt idx="7">
                  <c:v>362.20531554580646</c:v>
                </c:pt>
                <c:pt idx="8">
                  <c:v>1191.0811855799998</c:v>
                </c:pt>
                <c:pt idx="9">
                  <c:v>1190.7063743690321</c:v>
                </c:pt>
                <c:pt idx="10">
                  <c:v>1113.2091845160001</c:v>
                </c:pt>
                <c:pt idx="11">
                  <c:v>1127.8298814270968</c:v>
                </c:pt>
                <c:pt idx="12">
                  <c:v>1030.8991127458064</c:v>
                </c:pt>
                <c:pt idx="13">
                  <c:v>793.84697963999997</c:v>
                </c:pt>
                <c:pt idx="14">
                  <c:v>867.83328834967733</c:v>
                </c:pt>
                <c:pt idx="15">
                  <c:v>881.15820936000011</c:v>
                </c:pt>
                <c:pt idx="16">
                  <c:v>993.723959984516</c:v>
                </c:pt>
                <c:pt idx="17">
                  <c:v>819.03133883999988</c:v>
                </c:pt>
                <c:pt idx="18">
                  <c:v>615.91425932903223</c:v>
                </c:pt>
                <c:pt idx="19">
                  <c:v>639.96337049806459</c:v>
                </c:pt>
                <c:pt idx="20">
                  <c:v>229.63229546400001</c:v>
                </c:pt>
                <c:pt idx="21">
                  <c:v>627.57165291096771</c:v>
                </c:pt>
                <c:pt idx="22">
                  <c:v>624.92043728399995</c:v>
                </c:pt>
                <c:pt idx="23">
                  <c:v>582.04356459096778</c:v>
                </c:pt>
                <c:pt idx="24">
                  <c:v>541.19679180387095</c:v>
                </c:pt>
                <c:pt idx="25">
                  <c:v>548.06468819142867</c:v>
                </c:pt>
                <c:pt idx="26">
                  <c:v>539.84371786855729</c:v>
                </c:pt>
                <c:pt idx="27">
                  <c:v>531.74606210052889</c:v>
                </c:pt>
                <c:pt idx="28">
                  <c:v>523.76987116902092</c:v>
                </c:pt>
                <c:pt idx="29">
                  <c:v>515.91332310148562</c:v>
                </c:pt>
                <c:pt idx="30">
                  <c:v>508.17462325496331</c:v>
                </c:pt>
                <c:pt idx="31">
                  <c:v>500.55200390613885</c:v>
                </c:pt>
                <c:pt idx="32">
                  <c:v>493.04372384754674</c:v>
                </c:pt>
                <c:pt idx="33">
                  <c:v>485.64806798983352</c:v>
                </c:pt>
                <c:pt idx="34">
                  <c:v>478.36334696998603</c:v>
                </c:pt>
                <c:pt idx="35">
                  <c:v>471.18789676543622</c:v>
                </c:pt>
                <c:pt idx="36">
                  <c:v>464.12007831395465</c:v>
                </c:pt>
                <c:pt idx="37">
                  <c:v>457.15827713924534</c:v>
                </c:pt>
                <c:pt idx="38">
                  <c:v>450.30090298215669</c:v>
                </c:pt>
                <c:pt idx="39">
                  <c:v>443.54638943742435</c:v>
                </c:pt>
                <c:pt idx="40">
                  <c:v>436.89319359586301</c:v>
                </c:pt>
                <c:pt idx="41">
                  <c:v>430.33979569192508</c:v>
                </c:pt>
                <c:pt idx="42">
                  <c:v>423.88469875654619</c:v>
                </c:pt>
                <c:pt idx="43">
                  <c:v>417.52642827519799</c:v>
                </c:pt>
                <c:pt idx="44">
                  <c:v>411.26353185107001</c:v>
                </c:pt>
                <c:pt idx="45">
                  <c:v>405.09457887330399</c:v>
                </c:pt>
                <c:pt idx="46">
                  <c:v>399.01816019020441</c:v>
                </c:pt>
                <c:pt idx="47">
                  <c:v>393.03288778735134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332-408A-971C-9267366A3624}"/>
            </c:ext>
          </c:extLst>
        </c:ser>
        <c:ser>
          <c:idx val="6"/>
          <c:order val="6"/>
          <c:tx>
            <c:strRef>
              <c:f>'Norge-UK'!$Q$1:$R$1</c:f>
              <c:strCache>
                <c:ptCount val="1"/>
                <c:pt idx="0">
                  <c:v>Alve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>
                    <a:lumMod val="60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'Norge-UK'!$A$29:$A$76</c:f>
              <c:numCache>
                <c:formatCode>mmm\-yy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'Norge-UK'!$R$29:$R$76</c:f>
              <c:numCache>
                <c:formatCode>#,##0</c:formatCode>
                <c:ptCount val="48"/>
                <c:pt idx="0">
                  <c:v>5165.2649187096767</c:v>
                </c:pt>
                <c:pt idx="1">
                  <c:v>5423.6046857142856</c:v>
                </c:pt>
                <c:pt idx="2">
                  <c:v>5366.4086647741942</c:v>
                </c:pt>
                <c:pt idx="3">
                  <c:v>5270.9530367999996</c:v>
                </c:pt>
                <c:pt idx="4">
                  <c:v>5215.453464774193</c:v>
                </c:pt>
                <c:pt idx="5">
                  <c:v>5260.0171712000001</c:v>
                </c:pt>
                <c:pt idx="6">
                  <c:v>4524.1111122580651</c:v>
                </c:pt>
                <c:pt idx="7">
                  <c:v>4729.410184258064</c:v>
                </c:pt>
                <c:pt idx="8">
                  <c:v>4042.8486207999999</c:v>
                </c:pt>
                <c:pt idx="9">
                  <c:v>4667.9892727741935</c:v>
                </c:pt>
                <c:pt idx="10">
                  <c:v>3974.7510527999998</c:v>
                </c:pt>
                <c:pt idx="11">
                  <c:v>5054.9540005161289</c:v>
                </c:pt>
                <c:pt idx="12">
                  <c:v>2954.5016670967743</c:v>
                </c:pt>
                <c:pt idx="13">
                  <c:v>3852.1684899310344</c:v>
                </c:pt>
                <c:pt idx="14">
                  <c:v>3723.6914539354834</c:v>
                </c:pt>
                <c:pt idx="15">
                  <c:v>3040.2377280000001</c:v>
                </c:pt>
                <c:pt idx="16">
                  <c:v>2943.7237904516128</c:v>
                </c:pt>
                <c:pt idx="17">
                  <c:v>3158.5866047999998</c:v>
                </c:pt>
                <c:pt idx="18">
                  <c:v>3994.307055483871</c:v>
                </c:pt>
                <c:pt idx="19">
                  <c:v>3638.2475643870971</c:v>
                </c:pt>
                <c:pt idx="20">
                  <c:v>2416.3566591999997</c:v>
                </c:pt>
                <c:pt idx="21">
                  <c:v>2989.9517914838707</c:v>
                </c:pt>
                <c:pt idx="22">
                  <c:v>2136.5863551999996</c:v>
                </c:pt>
                <c:pt idx="23">
                  <c:v>4988.5337125161295</c:v>
                </c:pt>
                <c:pt idx="24">
                  <c:v>4809.4651354838707</c:v>
                </c:pt>
                <c:pt idx="25">
                  <c:v>4083.8413439999999</c:v>
                </c:pt>
                <c:pt idx="26">
                  <c:v>3920.4876902400001</c:v>
                </c:pt>
                <c:pt idx="27">
                  <c:v>3763.6681826304002</c:v>
                </c:pt>
                <c:pt idx="28">
                  <c:v>3613.1214553251843</c:v>
                </c:pt>
                <c:pt idx="29">
                  <c:v>3468.5965971121768</c:v>
                </c:pt>
                <c:pt idx="30">
                  <c:v>3329.8527332276899</c:v>
                </c:pt>
                <c:pt idx="31">
                  <c:v>3196.6586238985824</c:v>
                </c:pt>
                <c:pt idx="32">
                  <c:v>3068.7922789426393</c:v>
                </c:pt>
                <c:pt idx="33">
                  <c:v>2946.0405877849339</c:v>
                </c:pt>
                <c:pt idx="34">
                  <c:v>2828.1989642735366</c:v>
                </c:pt>
                <c:pt idx="35">
                  <c:v>2715.0710057025954</c:v>
                </c:pt>
                <c:pt idx="36">
                  <c:v>2606.4681654744913</c:v>
                </c:pt>
                <c:pt idx="37">
                  <c:v>2502.2094388555115</c:v>
                </c:pt>
                <c:pt idx="38">
                  <c:v>2402.1210613012909</c:v>
                </c:pt>
                <c:pt idx="39">
                  <c:v>2306.036218849239</c:v>
                </c:pt>
                <c:pt idx="40">
                  <c:v>2213.7947700952695</c:v>
                </c:pt>
                <c:pt idx="41">
                  <c:v>2125.2429792914586</c:v>
                </c:pt>
                <c:pt idx="42">
                  <c:v>2040.2332601198002</c:v>
                </c:pt>
                <c:pt idx="43">
                  <c:v>1958.6239297150082</c:v>
                </c:pt>
                <c:pt idx="44">
                  <c:v>1880.2789725264079</c:v>
                </c:pt>
                <c:pt idx="45">
                  <c:v>1805.0678136253516</c:v>
                </c:pt>
                <c:pt idx="46">
                  <c:v>1732.8651010803376</c:v>
                </c:pt>
                <c:pt idx="47">
                  <c:v>1663.5504970371242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332-408A-971C-9267366A3624}"/>
            </c:ext>
          </c:extLst>
        </c:ser>
        <c:ser>
          <c:idx val="7"/>
          <c:order val="7"/>
          <c:tx>
            <c:strRef>
              <c:f>'Norge-UK'!$S$1:$T$1</c:f>
              <c:strCache>
                <c:ptCount val="1"/>
                <c:pt idx="0">
                  <c:v>Marulk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>
                    <a:lumMod val="60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'Norge-UK'!$A$29:$A$76</c:f>
              <c:numCache>
                <c:formatCode>mmm\-yy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'Norge-UK'!$T$29:$T$76</c:f>
              <c:numCache>
                <c:formatCode>#,##0</c:formatCode>
                <c:ptCount val="48"/>
                <c:pt idx="0">
                  <c:v>2147.1896053548385</c:v>
                </c:pt>
                <c:pt idx="1">
                  <c:v>2133.529362642857</c:v>
                </c:pt>
                <c:pt idx="2">
                  <c:v>813.88388825806453</c:v>
                </c:pt>
                <c:pt idx="3">
                  <c:v>1082.0259076</c:v>
                </c:pt>
                <c:pt idx="4">
                  <c:v>1985.3510223870967</c:v>
                </c:pt>
                <c:pt idx="5">
                  <c:v>1884.1179764000001</c:v>
                </c:pt>
                <c:pt idx="6">
                  <c:v>978.51635980645153</c:v>
                </c:pt>
                <c:pt idx="7">
                  <c:v>1566.2677352903227</c:v>
                </c:pt>
                <c:pt idx="8">
                  <c:v>1139.7306294</c:v>
                </c:pt>
                <c:pt idx="9">
                  <c:v>1370.902489354839</c:v>
                </c:pt>
                <c:pt idx="10">
                  <c:v>1472.6287774000002</c:v>
                </c:pt>
                <c:pt idx="11">
                  <c:v>2038.3314280645161</c:v>
                </c:pt>
                <c:pt idx="12">
                  <c:v>1067.7138396774194</c:v>
                </c:pt>
                <c:pt idx="13">
                  <c:v>1932.8273443448275</c:v>
                </c:pt>
                <c:pt idx="14">
                  <c:v>2748.2205747096773</c:v>
                </c:pt>
                <c:pt idx="15">
                  <c:v>2675.3035319999999</c:v>
                </c:pt>
                <c:pt idx="16">
                  <c:v>2481.8353709032258</c:v>
                </c:pt>
                <c:pt idx="17">
                  <c:v>1473.092126</c:v>
                </c:pt>
                <c:pt idx="18">
                  <c:v>2406.5038565806453</c:v>
                </c:pt>
                <c:pt idx="19">
                  <c:v>2682.3744845806455</c:v>
                </c:pt>
                <c:pt idx="20">
                  <c:v>2184.1183738000004</c:v>
                </c:pt>
                <c:pt idx="21">
                  <c:v>2371.1146012258068</c:v>
                </c:pt>
                <c:pt idx="22">
                  <c:v>1370.6920854000002</c:v>
                </c:pt>
                <c:pt idx="23">
                  <c:v>2595.3155367096774</c:v>
                </c:pt>
                <c:pt idx="24">
                  <c:v>2407.1247207096771</c:v>
                </c:pt>
                <c:pt idx="25">
                  <c:v>2397.2179958571428</c:v>
                </c:pt>
                <c:pt idx="26">
                  <c:v>2373.2458158985714</c:v>
                </c:pt>
                <c:pt idx="27">
                  <c:v>2349.5133577395859</c:v>
                </c:pt>
                <c:pt idx="28">
                  <c:v>2326.0182241621901</c:v>
                </c:pt>
                <c:pt idx="29">
                  <c:v>2302.7580419205683</c:v>
                </c:pt>
                <c:pt idx="30">
                  <c:v>2279.7304615013627</c:v>
                </c:pt>
                <c:pt idx="31">
                  <c:v>2256.933156886349</c:v>
                </c:pt>
                <c:pt idx="32">
                  <c:v>2234.3638253174854</c:v>
                </c:pt>
                <c:pt idx="33">
                  <c:v>2212.0201870643104</c:v>
                </c:pt>
                <c:pt idx="34">
                  <c:v>2189.8999851936674</c:v>
                </c:pt>
                <c:pt idx="35">
                  <c:v>2168.0009853417305</c:v>
                </c:pt>
                <c:pt idx="36">
                  <c:v>2146.3209754883133</c:v>
                </c:pt>
                <c:pt idx="37">
                  <c:v>2124.8577657334299</c:v>
                </c:pt>
                <c:pt idx="38">
                  <c:v>2103.6091880760955</c:v>
                </c:pt>
                <c:pt idx="39">
                  <c:v>2082.5730961953345</c:v>
                </c:pt>
                <c:pt idx="40">
                  <c:v>2061.7473652333811</c:v>
                </c:pt>
                <c:pt idx="41">
                  <c:v>2041.1298915810473</c:v>
                </c:pt>
                <c:pt idx="42">
                  <c:v>2020.7185926652369</c:v>
                </c:pt>
                <c:pt idx="43">
                  <c:v>2000.5114067385846</c:v>
                </c:pt>
                <c:pt idx="44">
                  <c:v>1980.5062926711987</c:v>
                </c:pt>
                <c:pt idx="45">
                  <c:v>1960.7012297444867</c:v>
                </c:pt>
                <c:pt idx="46">
                  <c:v>1941.0942174470417</c:v>
                </c:pt>
                <c:pt idx="47">
                  <c:v>1921.6832752725713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7332-408A-971C-9267366A3624}"/>
            </c:ext>
          </c:extLst>
        </c:ser>
        <c:ser>
          <c:idx val="8"/>
          <c:order val="8"/>
          <c:tx>
            <c:strRef>
              <c:f>'Norge-UK'!$U$1:$V$1</c:f>
              <c:strCache>
                <c:ptCount val="1"/>
                <c:pt idx="0">
                  <c:v>Blane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'Norge-UK'!$A$29:$A$76</c:f>
              <c:numCache>
                <c:formatCode>mmm\-yy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'Norge-UK'!$V$29:$V$76</c:f>
              <c:numCache>
                <c:formatCode>#,##0</c:formatCode>
                <c:ptCount val="48"/>
                <c:pt idx="0">
                  <c:v>706.73414464021505</c:v>
                </c:pt>
                <c:pt idx="1">
                  <c:v>793.56219896119057</c:v>
                </c:pt>
                <c:pt idx="2">
                  <c:v>526.66490551612901</c:v>
                </c:pt>
                <c:pt idx="3">
                  <c:v>740.65805236377787</c:v>
                </c:pt>
                <c:pt idx="4">
                  <c:v>709.24207276172035</c:v>
                </c:pt>
                <c:pt idx="5">
                  <c:v>5.1830514511111111E-4</c:v>
                </c:pt>
                <c:pt idx="6">
                  <c:v>655.57241096150528</c:v>
                </c:pt>
                <c:pt idx="7">
                  <c:v>712.25158650752678</c:v>
                </c:pt>
                <c:pt idx="8">
                  <c:v>617.8197329724444</c:v>
                </c:pt>
                <c:pt idx="9">
                  <c:v>671.6231509391398</c:v>
                </c:pt>
                <c:pt idx="10">
                  <c:v>731.84686489688875</c:v>
                </c:pt>
                <c:pt idx="11">
                  <c:v>592.3726222995698</c:v>
                </c:pt>
                <c:pt idx="12">
                  <c:v>712.25158650752678</c:v>
                </c:pt>
                <c:pt idx="13">
                  <c:v>594.62110958091944</c:v>
                </c:pt>
                <c:pt idx="14">
                  <c:v>741.84513834129029</c:v>
                </c:pt>
                <c:pt idx="15">
                  <c:v>652.5461776948888</c:v>
                </c:pt>
                <c:pt idx="16">
                  <c:v>660.58826720451611</c:v>
                </c:pt>
                <c:pt idx="17">
                  <c:v>654.61939827533331</c:v>
                </c:pt>
                <c:pt idx="18">
                  <c:v>675.63583593354838</c:v>
                </c:pt>
                <c:pt idx="19">
                  <c:v>691.18499028688166</c:v>
                </c:pt>
                <c:pt idx="20">
                  <c:v>683.64448640155558</c:v>
                </c:pt>
                <c:pt idx="21">
                  <c:v>526.163319891828</c:v>
                </c:pt>
                <c:pt idx="22">
                  <c:v>613.6732918115556</c:v>
                </c:pt>
                <c:pt idx="23">
                  <c:v>474.50000058881722</c:v>
                </c:pt>
                <c:pt idx="24">
                  <c:v>663.09619532602153</c:v>
                </c:pt>
                <c:pt idx="25">
                  <c:v>654.73046366357141</c:v>
                </c:pt>
                <c:pt idx="26">
                  <c:v>648.18315902693575</c:v>
                </c:pt>
                <c:pt idx="27">
                  <c:v>641.70132743666636</c:v>
                </c:pt>
                <c:pt idx="28">
                  <c:v>635.28431416229967</c:v>
                </c:pt>
                <c:pt idx="29">
                  <c:v>628.93147102067667</c:v>
                </c:pt>
                <c:pt idx="30">
                  <c:v>622.64215631046989</c:v>
                </c:pt>
                <c:pt idx="31">
                  <c:v>616.41573474736515</c:v>
                </c:pt>
                <c:pt idx="32">
                  <c:v>610.25157739989152</c:v>
                </c:pt>
                <c:pt idx="33">
                  <c:v>604.14906162589261</c:v>
                </c:pt>
                <c:pt idx="34">
                  <c:v>598.10757100963372</c:v>
                </c:pt>
                <c:pt idx="35">
                  <c:v>592.1264952995374</c:v>
                </c:pt>
                <c:pt idx="36">
                  <c:v>586.20523034654207</c:v>
                </c:pt>
                <c:pt idx="37">
                  <c:v>580.34317804307659</c:v>
                </c:pt>
                <c:pt idx="38">
                  <c:v>574.53974626264585</c:v>
                </c:pt>
                <c:pt idx="39">
                  <c:v>568.79434880001941</c:v>
                </c:pt>
                <c:pt idx="40">
                  <c:v>563.10640531201921</c:v>
                </c:pt>
                <c:pt idx="41">
                  <c:v>557.47534125889899</c:v>
                </c:pt>
                <c:pt idx="42">
                  <c:v>551.90058784631003</c:v>
                </c:pt>
                <c:pt idx="43">
                  <c:v>546.38158196784696</c:v>
                </c:pt>
                <c:pt idx="44">
                  <c:v>540.91776614816854</c:v>
                </c:pt>
                <c:pt idx="45">
                  <c:v>535.5085884866869</c:v>
                </c:pt>
                <c:pt idx="46">
                  <c:v>530.15350260182004</c:v>
                </c:pt>
                <c:pt idx="47">
                  <c:v>524.85196757580184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7332-408A-971C-9267366A3624}"/>
            </c:ext>
          </c:extLst>
        </c:ser>
        <c:ser>
          <c:idx val="9"/>
          <c:order val="9"/>
          <c:tx>
            <c:strRef>
              <c:f>'Norge-UK'!$W$1:$X$1</c:f>
              <c:strCache>
                <c:ptCount val="1"/>
                <c:pt idx="0">
                  <c:v>Oda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4">
                    <a:lumMod val="60000"/>
                  </a:schemeClr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f>'Norge-UK'!$A$29:$A$76</c:f>
              <c:numCache>
                <c:formatCode>mmm\-yy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'Norge-UK'!$X$29:$X$76</c:f>
              <c:numCache>
                <c:formatCode>#,##0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348.26216806451617</c:v>
                </c:pt>
                <c:pt idx="3">
                  <c:v>2951.1741599999996</c:v>
                </c:pt>
                <c:pt idx="4">
                  <c:v>3183.2677799999992</c:v>
                </c:pt>
                <c:pt idx="5">
                  <c:v>3.1448999999999997E-5</c:v>
                </c:pt>
                <c:pt idx="6">
                  <c:v>1956.848083548387</c:v>
                </c:pt>
                <c:pt idx="7">
                  <c:v>1462.5002380645162</c:v>
                </c:pt>
                <c:pt idx="8">
                  <c:v>310.81046700000002</c:v>
                </c:pt>
                <c:pt idx="9">
                  <c:v>2159.4506574193547</c:v>
                </c:pt>
                <c:pt idx="10">
                  <c:v>3995.1237149999993</c:v>
                </c:pt>
                <c:pt idx="11">
                  <c:v>4690.7502329032259</c:v>
                </c:pt>
                <c:pt idx="12">
                  <c:v>1460.8263396774194</c:v>
                </c:pt>
                <c:pt idx="13">
                  <c:v>4393.1867213793093</c:v>
                </c:pt>
                <c:pt idx="14">
                  <c:v>4872.9312464516133</c:v>
                </c:pt>
                <c:pt idx="15">
                  <c:v>3123.2630879999997</c:v>
                </c:pt>
                <c:pt idx="16">
                  <c:v>2698.1415929032255</c:v>
                </c:pt>
                <c:pt idx="17">
                  <c:v>3731.5810949999996</c:v>
                </c:pt>
                <c:pt idx="18">
                  <c:v>4680.8285806451613</c:v>
                </c:pt>
                <c:pt idx="19">
                  <c:v>3168.2635635483871</c:v>
                </c:pt>
                <c:pt idx="20">
                  <c:v>3475.3031939999996</c:v>
                </c:pt>
                <c:pt idx="21">
                  <c:v>3148.2985209677413</c:v>
                </c:pt>
                <c:pt idx="22">
                  <c:v>3071.2149929999996</c:v>
                </c:pt>
                <c:pt idx="23">
                  <c:v>2431.2613209677415</c:v>
                </c:pt>
                <c:pt idx="24">
                  <c:v>2347.3533599999996</c:v>
                </c:pt>
                <c:pt idx="25">
                  <c:v>1738.9836867857139</c:v>
                </c:pt>
                <c:pt idx="26">
                  <c:v>1737.2447030989281</c:v>
                </c:pt>
                <c:pt idx="27">
                  <c:v>1735.5074583958292</c:v>
                </c:pt>
                <c:pt idx="28">
                  <c:v>1733.7719509374333</c:v>
                </c:pt>
                <c:pt idx="29">
                  <c:v>1732.038178986496</c:v>
                </c:pt>
                <c:pt idx="30">
                  <c:v>1730.3061408075096</c:v>
                </c:pt>
                <c:pt idx="31">
                  <c:v>1728.5758346667021</c:v>
                </c:pt>
                <c:pt idx="32">
                  <c:v>1726.8472588320353</c:v>
                </c:pt>
                <c:pt idx="33">
                  <c:v>1725.1204115732032</c:v>
                </c:pt>
                <c:pt idx="34">
                  <c:v>1723.39529116163</c:v>
                </c:pt>
                <c:pt idx="35">
                  <c:v>1721.6718958704685</c:v>
                </c:pt>
                <c:pt idx="36">
                  <c:v>1719.950223974598</c:v>
                </c:pt>
                <c:pt idx="37">
                  <c:v>1718.2302737506234</c:v>
                </c:pt>
                <c:pt idx="38">
                  <c:v>1716.5120434768728</c:v>
                </c:pt>
                <c:pt idx="39">
                  <c:v>1714.795531433396</c:v>
                </c:pt>
                <c:pt idx="40">
                  <c:v>1713.0807359019627</c:v>
                </c:pt>
                <c:pt idx="41">
                  <c:v>1711.3676551660608</c:v>
                </c:pt>
                <c:pt idx="42">
                  <c:v>1709.6562875108948</c:v>
                </c:pt>
                <c:pt idx="43">
                  <c:v>1707.946631223384</c:v>
                </c:pt>
                <c:pt idx="44">
                  <c:v>1706.2386845921606</c:v>
                </c:pt>
                <c:pt idx="45">
                  <c:v>1704.5324459075684</c:v>
                </c:pt>
                <c:pt idx="46">
                  <c:v>1702.827913461661</c:v>
                </c:pt>
                <c:pt idx="47">
                  <c:v>1701.1250855481992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7332-408A-971C-9267366A3624}"/>
            </c:ext>
          </c:extLst>
        </c:ser>
        <c:ser>
          <c:idx val="10"/>
          <c:order val="10"/>
          <c:tx>
            <c:strRef>
              <c:f>'Norge-UK'!$Y$1:$Z$1</c:f>
              <c:strCache>
                <c:ptCount val="1"/>
                <c:pt idx="0">
                  <c:v>Trym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'Norge-UK'!$A$29:$A$76</c:f>
              <c:numCache>
                <c:formatCode>mmm\-yy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'Norge-UK'!$Z$29:$Z$76</c:f>
              <c:numCache>
                <c:formatCode>#,##0</c:formatCode>
                <c:ptCount val="48"/>
                <c:pt idx="0">
                  <c:v>1987.5768</c:v>
                </c:pt>
                <c:pt idx="1">
                  <c:v>2709.7806214285711</c:v>
                </c:pt>
                <c:pt idx="2">
                  <c:v>2501.3114322580645</c:v>
                </c:pt>
                <c:pt idx="3">
                  <c:v>2021.22723</c:v>
                </c:pt>
                <c:pt idx="4">
                  <c:v>2328.2404838709676</c:v>
                </c:pt>
                <c:pt idx="5">
                  <c:v>2249.6517999999996</c:v>
                </c:pt>
                <c:pt idx="6">
                  <c:v>2281.4727774193548</c:v>
                </c:pt>
                <c:pt idx="7">
                  <c:v>2164.5027870967742</c:v>
                </c:pt>
                <c:pt idx="8">
                  <c:v>92.040739999999985</c:v>
                </c:pt>
                <c:pt idx="9">
                  <c:v>1.014483870967742E-6</c:v>
                </c:pt>
                <c:pt idx="10">
                  <c:v>1.0043390322580647E-6</c:v>
                </c:pt>
                <c:pt idx="11">
                  <c:v>9.9429564193548406E-7</c:v>
                </c:pt>
                <c:pt idx="12">
                  <c:v>9.843526855161292E-7</c:v>
                </c:pt>
                <c:pt idx="13">
                  <c:v>9.7450915866096789E-7</c:v>
                </c:pt>
                <c:pt idx="14">
                  <c:v>9.6476406707435811E-7</c:v>
                </c:pt>
                <c:pt idx="15">
                  <c:v>9.5511642640361443E-7</c:v>
                </c:pt>
                <c:pt idx="16">
                  <c:v>9.4556526213957831E-7</c:v>
                </c:pt>
                <c:pt idx="17">
                  <c:v>9.3610960951818251E-7</c:v>
                </c:pt>
                <c:pt idx="18">
                  <c:v>9.267485134230007E-7</c:v>
                </c:pt>
                <c:pt idx="19">
                  <c:v>9.1748102828877069E-7</c:v>
                </c:pt>
                <c:pt idx="20">
                  <c:v>9.0830621800588302E-7</c:v>
                </c:pt>
                <c:pt idx="21">
                  <c:v>8.9922315582582423E-7</c:v>
                </c:pt>
                <c:pt idx="22">
                  <c:v>8.9023092426756597E-7</c:v>
                </c:pt>
                <c:pt idx="23">
                  <c:v>8.8132861502489035E-7</c:v>
                </c:pt>
                <c:pt idx="24">
                  <c:v>8.7251532887464148E-7</c:v>
                </c:pt>
                <c:pt idx="25">
                  <c:v>8.6379017558589505E-7</c:v>
                </c:pt>
                <c:pt idx="26">
                  <c:v>8.5515227383003614E-7</c:v>
                </c:pt>
                <c:pt idx="27">
                  <c:v>8.4660075109173573E-7</c:v>
                </c:pt>
                <c:pt idx="28">
                  <c:v>8.3813474358081833E-7</c:v>
                </c:pt>
                <c:pt idx="29">
                  <c:v>8.2975339614501015E-7</c:v>
                </c:pt>
                <c:pt idx="30">
                  <c:v>8.2145586218356006E-7</c:v>
                </c:pt>
                <c:pt idx="31">
                  <c:v>8.1324130356172441E-7</c:v>
                </c:pt>
                <c:pt idx="32">
                  <c:v>8.0510889052610718E-7</c:v>
                </c:pt>
                <c:pt idx="33">
                  <c:v>7.9705780162084612E-7</c:v>
                </c:pt>
                <c:pt idx="34">
                  <c:v>7.8908722360463765E-7</c:v>
                </c:pt>
                <c:pt idx="35">
                  <c:v>7.8119635136859129E-7</c:v>
                </c:pt>
                <c:pt idx="36">
                  <c:v>7.7338438785490536E-7</c:v>
                </c:pt>
                <c:pt idx="37">
                  <c:v>7.6565054397635634E-7</c:v>
                </c:pt>
                <c:pt idx="38">
                  <c:v>7.5799403853659279E-7</c:v>
                </c:pt>
                <c:pt idx="39">
                  <c:v>7.5041409815122688E-7</c:v>
                </c:pt>
                <c:pt idx="40">
                  <c:v>7.4290995716971462E-7</c:v>
                </c:pt>
                <c:pt idx="41">
                  <c:v>7.3548085759801744E-7</c:v>
                </c:pt>
                <c:pt idx="42">
                  <c:v>7.2812604902203727E-7</c:v>
                </c:pt>
                <c:pt idx="43">
                  <c:v>7.2084478853181693E-7</c:v>
                </c:pt>
                <c:pt idx="44">
                  <c:v>7.1363634064649878E-7</c:v>
                </c:pt>
                <c:pt idx="45">
                  <c:v>7.0649997724003384E-7</c:v>
                </c:pt>
                <c:pt idx="46">
                  <c:v>6.9943497746763351E-7</c:v>
                </c:pt>
                <c:pt idx="47">
                  <c:v>6.9244062769295715E-7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7332-408A-971C-9267366A36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1886912"/>
        <c:axId val="771887240"/>
      </c:lineChart>
      <c:dateAx>
        <c:axId val="771886912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771887240"/>
        <c:crosses val="autoZero"/>
        <c:auto val="1"/>
        <c:lblOffset val="100"/>
        <c:baseTimeUnit val="months"/>
      </c:dateAx>
      <c:valAx>
        <c:axId val="771887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771886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nb-NO"/>
              <a:t>DNO Trendlinje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nb-NO"/>
        </a:p>
      </c:txPr>
    </c:title>
    <c:autoTitleDeleted val="0"/>
    <c:plotArea>
      <c:layout>
        <c:manualLayout>
          <c:layoutTarget val="inner"/>
          <c:xMode val="edge"/>
          <c:yMode val="edge"/>
          <c:x val="3.4362221442064966E-2"/>
          <c:y val="9.5767918088737206E-2"/>
          <c:w val="0.9486526405536887"/>
          <c:h val="0.8628253294276782"/>
        </c:manualLayout>
      </c:layout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exp"/>
            <c:forward val="365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b-NO"/>
                </a:p>
              </c:txPr>
            </c:trendlineLbl>
          </c:trendline>
          <c:cat>
            <c:numRef>
              <c:f>Kurstrend!$A$5:$A$1060</c:f>
              <c:numCache>
                <c:formatCode>dd\.mm\.yy</c:formatCode>
                <c:ptCount val="1056"/>
                <c:pt idx="0">
                  <c:v>42737</c:v>
                </c:pt>
                <c:pt idx="1">
                  <c:v>42738</c:v>
                </c:pt>
                <c:pt idx="2">
                  <c:v>42739</c:v>
                </c:pt>
                <c:pt idx="3">
                  <c:v>42740</c:v>
                </c:pt>
                <c:pt idx="4">
                  <c:v>42741</c:v>
                </c:pt>
                <c:pt idx="5">
                  <c:v>42744</c:v>
                </c:pt>
                <c:pt idx="6">
                  <c:v>42745</c:v>
                </c:pt>
                <c:pt idx="7">
                  <c:v>42746</c:v>
                </c:pt>
                <c:pt idx="8">
                  <c:v>42747</c:v>
                </c:pt>
                <c:pt idx="9">
                  <c:v>42748</c:v>
                </c:pt>
                <c:pt idx="10">
                  <c:v>42751</c:v>
                </c:pt>
                <c:pt idx="11">
                  <c:v>42752</c:v>
                </c:pt>
                <c:pt idx="12">
                  <c:v>42753</c:v>
                </c:pt>
                <c:pt idx="13">
                  <c:v>42754</c:v>
                </c:pt>
                <c:pt idx="14">
                  <c:v>42755</c:v>
                </c:pt>
                <c:pt idx="15">
                  <c:v>42758</c:v>
                </c:pt>
                <c:pt idx="16">
                  <c:v>42759</c:v>
                </c:pt>
                <c:pt idx="17">
                  <c:v>42760</c:v>
                </c:pt>
                <c:pt idx="18">
                  <c:v>42761</c:v>
                </c:pt>
                <c:pt idx="19">
                  <c:v>42762</c:v>
                </c:pt>
                <c:pt idx="20">
                  <c:v>42765</c:v>
                </c:pt>
                <c:pt idx="21">
                  <c:v>42766</c:v>
                </c:pt>
                <c:pt idx="22">
                  <c:v>42767</c:v>
                </c:pt>
                <c:pt idx="23">
                  <c:v>42768</c:v>
                </c:pt>
                <c:pt idx="24">
                  <c:v>42769</c:v>
                </c:pt>
                <c:pt idx="25">
                  <c:v>42772</c:v>
                </c:pt>
                <c:pt idx="26">
                  <c:v>42773</c:v>
                </c:pt>
                <c:pt idx="27">
                  <c:v>42774</c:v>
                </c:pt>
                <c:pt idx="28">
                  <c:v>42775</c:v>
                </c:pt>
                <c:pt idx="29">
                  <c:v>42776</c:v>
                </c:pt>
                <c:pt idx="30">
                  <c:v>42779</c:v>
                </c:pt>
                <c:pt idx="31">
                  <c:v>42780</c:v>
                </c:pt>
                <c:pt idx="32">
                  <c:v>42781</c:v>
                </c:pt>
                <c:pt idx="33">
                  <c:v>42782</c:v>
                </c:pt>
                <c:pt idx="34">
                  <c:v>42783</c:v>
                </c:pt>
                <c:pt idx="35">
                  <c:v>42786</c:v>
                </c:pt>
                <c:pt idx="36">
                  <c:v>42787</c:v>
                </c:pt>
                <c:pt idx="37">
                  <c:v>42788</c:v>
                </c:pt>
                <c:pt idx="38">
                  <c:v>42789</c:v>
                </c:pt>
                <c:pt idx="39">
                  <c:v>42790</c:v>
                </c:pt>
                <c:pt idx="40">
                  <c:v>42793</c:v>
                </c:pt>
                <c:pt idx="41">
                  <c:v>42794</c:v>
                </c:pt>
                <c:pt idx="42">
                  <c:v>42795</c:v>
                </c:pt>
                <c:pt idx="43">
                  <c:v>42796</c:v>
                </c:pt>
                <c:pt idx="44">
                  <c:v>42797</c:v>
                </c:pt>
                <c:pt idx="45">
                  <c:v>42800</c:v>
                </c:pt>
                <c:pt idx="46">
                  <c:v>42801</c:v>
                </c:pt>
                <c:pt idx="47">
                  <c:v>42802</c:v>
                </c:pt>
                <c:pt idx="48">
                  <c:v>42803</c:v>
                </c:pt>
                <c:pt idx="49">
                  <c:v>42804</c:v>
                </c:pt>
                <c:pt idx="50">
                  <c:v>42807</c:v>
                </c:pt>
                <c:pt idx="51">
                  <c:v>42808</c:v>
                </c:pt>
                <c:pt idx="52">
                  <c:v>42809</c:v>
                </c:pt>
                <c:pt idx="53">
                  <c:v>42810</c:v>
                </c:pt>
                <c:pt idx="54">
                  <c:v>42811</c:v>
                </c:pt>
                <c:pt idx="55">
                  <c:v>42814</c:v>
                </c:pt>
                <c:pt idx="56">
                  <c:v>42815</c:v>
                </c:pt>
                <c:pt idx="57">
                  <c:v>42816</c:v>
                </c:pt>
                <c:pt idx="58">
                  <c:v>42817</c:v>
                </c:pt>
                <c:pt idx="59">
                  <c:v>42818</c:v>
                </c:pt>
                <c:pt idx="60">
                  <c:v>42821</c:v>
                </c:pt>
                <c:pt idx="61">
                  <c:v>42822</c:v>
                </c:pt>
                <c:pt idx="62">
                  <c:v>42823</c:v>
                </c:pt>
                <c:pt idx="63">
                  <c:v>42824</c:v>
                </c:pt>
                <c:pt idx="64">
                  <c:v>42825</c:v>
                </c:pt>
                <c:pt idx="65">
                  <c:v>42828</c:v>
                </c:pt>
                <c:pt idx="66">
                  <c:v>42829</c:v>
                </c:pt>
                <c:pt idx="67">
                  <c:v>42830</c:v>
                </c:pt>
                <c:pt idx="68">
                  <c:v>42831</c:v>
                </c:pt>
                <c:pt idx="69">
                  <c:v>42832</c:v>
                </c:pt>
                <c:pt idx="70">
                  <c:v>42835</c:v>
                </c:pt>
                <c:pt idx="71">
                  <c:v>42836</c:v>
                </c:pt>
                <c:pt idx="72">
                  <c:v>42837</c:v>
                </c:pt>
                <c:pt idx="73">
                  <c:v>42843</c:v>
                </c:pt>
                <c:pt idx="74">
                  <c:v>42844</c:v>
                </c:pt>
                <c:pt idx="75">
                  <c:v>42845</c:v>
                </c:pt>
                <c:pt idx="76">
                  <c:v>42846</c:v>
                </c:pt>
                <c:pt idx="77">
                  <c:v>42849</c:v>
                </c:pt>
                <c:pt idx="78">
                  <c:v>42850</c:v>
                </c:pt>
                <c:pt idx="79">
                  <c:v>42851</c:v>
                </c:pt>
                <c:pt idx="80">
                  <c:v>42852</c:v>
                </c:pt>
                <c:pt idx="81">
                  <c:v>42853</c:v>
                </c:pt>
                <c:pt idx="82">
                  <c:v>42857</c:v>
                </c:pt>
                <c:pt idx="83">
                  <c:v>42858</c:v>
                </c:pt>
                <c:pt idx="84">
                  <c:v>42859</c:v>
                </c:pt>
                <c:pt idx="85">
                  <c:v>42860</c:v>
                </c:pt>
                <c:pt idx="86">
                  <c:v>42863</c:v>
                </c:pt>
                <c:pt idx="87">
                  <c:v>42864</c:v>
                </c:pt>
                <c:pt idx="88">
                  <c:v>42865</c:v>
                </c:pt>
                <c:pt idx="89">
                  <c:v>42866</c:v>
                </c:pt>
                <c:pt idx="90">
                  <c:v>42867</c:v>
                </c:pt>
                <c:pt idx="91">
                  <c:v>42870</c:v>
                </c:pt>
                <c:pt idx="92">
                  <c:v>42871</c:v>
                </c:pt>
                <c:pt idx="93">
                  <c:v>42873</c:v>
                </c:pt>
                <c:pt idx="94">
                  <c:v>42874</c:v>
                </c:pt>
                <c:pt idx="95">
                  <c:v>42877</c:v>
                </c:pt>
                <c:pt idx="96">
                  <c:v>42878</c:v>
                </c:pt>
                <c:pt idx="97">
                  <c:v>42879</c:v>
                </c:pt>
                <c:pt idx="98">
                  <c:v>42881</c:v>
                </c:pt>
                <c:pt idx="99">
                  <c:v>42884</c:v>
                </c:pt>
                <c:pt idx="100">
                  <c:v>42885</c:v>
                </c:pt>
                <c:pt idx="101">
                  <c:v>42886</c:v>
                </c:pt>
                <c:pt idx="102">
                  <c:v>42887</c:v>
                </c:pt>
                <c:pt idx="103">
                  <c:v>42888</c:v>
                </c:pt>
                <c:pt idx="104">
                  <c:v>42892</c:v>
                </c:pt>
                <c:pt idx="105">
                  <c:v>42893</c:v>
                </c:pt>
                <c:pt idx="106">
                  <c:v>42894</c:v>
                </c:pt>
                <c:pt idx="107">
                  <c:v>42895</c:v>
                </c:pt>
                <c:pt idx="108">
                  <c:v>42898</c:v>
                </c:pt>
                <c:pt idx="109">
                  <c:v>42899</c:v>
                </c:pt>
                <c:pt idx="110">
                  <c:v>42900</c:v>
                </c:pt>
                <c:pt idx="111">
                  <c:v>42901</c:v>
                </c:pt>
                <c:pt idx="112">
                  <c:v>42902</c:v>
                </c:pt>
                <c:pt idx="113">
                  <c:v>42905</c:v>
                </c:pt>
                <c:pt idx="114">
                  <c:v>42906</c:v>
                </c:pt>
                <c:pt idx="115">
                  <c:v>42907</c:v>
                </c:pt>
                <c:pt idx="116">
                  <c:v>42908</c:v>
                </c:pt>
                <c:pt idx="117">
                  <c:v>42909</c:v>
                </c:pt>
                <c:pt idx="118">
                  <c:v>42912</c:v>
                </c:pt>
                <c:pt idx="119">
                  <c:v>42913</c:v>
                </c:pt>
                <c:pt idx="120">
                  <c:v>42914</c:v>
                </c:pt>
                <c:pt idx="121">
                  <c:v>42915</c:v>
                </c:pt>
                <c:pt idx="122">
                  <c:v>42916</c:v>
                </c:pt>
                <c:pt idx="123">
                  <c:v>42919</c:v>
                </c:pt>
                <c:pt idx="124">
                  <c:v>42920</c:v>
                </c:pt>
                <c:pt idx="125">
                  <c:v>42921</c:v>
                </c:pt>
                <c:pt idx="126">
                  <c:v>42922</c:v>
                </c:pt>
                <c:pt idx="127">
                  <c:v>42923</c:v>
                </c:pt>
                <c:pt idx="128">
                  <c:v>42926</c:v>
                </c:pt>
                <c:pt idx="129">
                  <c:v>42927</c:v>
                </c:pt>
                <c:pt idx="130">
                  <c:v>42928</c:v>
                </c:pt>
                <c:pt idx="131">
                  <c:v>42929</c:v>
                </c:pt>
                <c:pt idx="132">
                  <c:v>42930</c:v>
                </c:pt>
                <c:pt idx="133">
                  <c:v>42933</c:v>
                </c:pt>
                <c:pt idx="134">
                  <c:v>42934</c:v>
                </c:pt>
                <c:pt idx="135">
                  <c:v>42935</c:v>
                </c:pt>
                <c:pt idx="136">
                  <c:v>42936</c:v>
                </c:pt>
                <c:pt idx="137">
                  <c:v>42937</c:v>
                </c:pt>
                <c:pt idx="138">
                  <c:v>42940</c:v>
                </c:pt>
                <c:pt idx="139">
                  <c:v>42941</c:v>
                </c:pt>
                <c:pt idx="140">
                  <c:v>42942</c:v>
                </c:pt>
                <c:pt idx="141">
                  <c:v>42943</c:v>
                </c:pt>
                <c:pt idx="142">
                  <c:v>42944</c:v>
                </c:pt>
                <c:pt idx="143">
                  <c:v>42947</c:v>
                </c:pt>
                <c:pt idx="144">
                  <c:v>42948</c:v>
                </c:pt>
                <c:pt idx="145">
                  <c:v>42949</c:v>
                </c:pt>
                <c:pt idx="146">
                  <c:v>42950</c:v>
                </c:pt>
                <c:pt idx="147">
                  <c:v>42951</c:v>
                </c:pt>
                <c:pt idx="148">
                  <c:v>42954</c:v>
                </c:pt>
                <c:pt idx="149">
                  <c:v>42955</c:v>
                </c:pt>
                <c:pt idx="150">
                  <c:v>42956</c:v>
                </c:pt>
                <c:pt idx="151">
                  <c:v>42957</c:v>
                </c:pt>
                <c:pt idx="152">
                  <c:v>42958</c:v>
                </c:pt>
                <c:pt idx="153">
                  <c:v>42961</c:v>
                </c:pt>
                <c:pt idx="154">
                  <c:v>42962</c:v>
                </c:pt>
                <c:pt idx="155">
                  <c:v>42963</c:v>
                </c:pt>
                <c:pt idx="156">
                  <c:v>42964</c:v>
                </c:pt>
                <c:pt idx="157">
                  <c:v>42965</c:v>
                </c:pt>
                <c:pt idx="158">
                  <c:v>42968</c:v>
                </c:pt>
                <c:pt idx="159">
                  <c:v>42969</c:v>
                </c:pt>
                <c:pt idx="160">
                  <c:v>42970</c:v>
                </c:pt>
                <c:pt idx="161">
                  <c:v>42971</c:v>
                </c:pt>
                <c:pt idx="162">
                  <c:v>42972</c:v>
                </c:pt>
                <c:pt idx="163">
                  <c:v>42975</c:v>
                </c:pt>
                <c:pt idx="164">
                  <c:v>42976</c:v>
                </c:pt>
                <c:pt idx="165">
                  <c:v>42977</c:v>
                </c:pt>
                <c:pt idx="166">
                  <c:v>42978</c:v>
                </c:pt>
                <c:pt idx="167">
                  <c:v>42979</c:v>
                </c:pt>
                <c:pt idx="168">
                  <c:v>42982</c:v>
                </c:pt>
                <c:pt idx="169">
                  <c:v>42983</c:v>
                </c:pt>
                <c:pt idx="170">
                  <c:v>42984</c:v>
                </c:pt>
                <c:pt idx="171">
                  <c:v>42985</c:v>
                </c:pt>
                <c:pt idx="172">
                  <c:v>42986</c:v>
                </c:pt>
                <c:pt idx="173">
                  <c:v>42989</c:v>
                </c:pt>
                <c:pt idx="174">
                  <c:v>42990</c:v>
                </c:pt>
                <c:pt idx="175">
                  <c:v>42991</c:v>
                </c:pt>
                <c:pt idx="176">
                  <c:v>42992</c:v>
                </c:pt>
                <c:pt idx="177">
                  <c:v>42993</c:v>
                </c:pt>
                <c:pt idx="178">
                  <c:v>42996</c:v>
                </c:pt>
                <c:pt idx="179">
                  <c:v>42997</c:v>
                </c:pt>
                <c:pt idx="180">
                  <c:v>42998</c:v>
                </c:pt>
                <c:pt idx="181">
                  <c:v>42999</c:v>
                </c:pt>
                <c:pt idx="182">
                  <c:v>43000</c:v>
                </c:pt>
                <c:pt idx="183">
                  <c:v>43003</c:v>
                </c:pt>
                <c:pt idx="184">
                  <c:v>43004</c:v>
                </c:pt>
                <c:pt idx="185">
                  <c:v>43005</c:v>
                </c:pt>
                <c:pt idx="186">
                  <c:v>43006</c:v>
                </c:pt>
                <c:pt idx="187">
                  <c:v>43007</c:v>
                </c:pt>
                <c:pt idx="188">
                  <c:v>43010</c:v>
                </c:pt>
                <c:pt idx="189">
                  <c:v>43011</c:v>
                </c:pt>
                <c:pt idx="190">
                  <c:v>43012</c:v>
                </c:pt>
                <c:pt idx="191">
                  <c:v>43013</c:v>
                </c:pt>
                <c:pt idx="192">
                  <c:v>43014</c:v>
                </c:pt>
                <c:pt idx="193">
                  <c:v>43017</c:v>
                </c:pt>
                <c:pt idx="194">
                  <c:v>43018</c:v>
                </c:pt>
                <c:pt idx="195">
                  <c:v>43019</c:v>
                </c:pt>
                <c:pt idx="196">
                  <c:v>43020</c:v>
                </c:pt>
                <c:pt idx="197">
                  <c:v>43021</c:v>
                </c:pt>
                <c:pt idx="198">
                  <c:v>43024</c:v>
                </c:pt>
                <c:pt idx="199">
                  <c:v>43025</c:v>
                </c:pt>
                <c:pt idx="200">
                  <c:v>43026</c:v>
                </c:pt>
                <c:pt idx="201">
                  <c:v>43027</c:v>
                </c:pt>
                <c:pt idx="202">
                  <c:v>43028</c:v>
                </c:pt>
                <c:pt idx="203">
                  <c:v>43031</c:v>
                </c:pt>
                <c:pt idx="204">
                  <c:v>43032</c:v>
                </c:pt>
                <c:pt idx="205">
                  <c:v>43033</c:v>
                </c:pt>
                <c:pt idx="206">
                  <c:v>43034</c:v>
                </c:pt>
                <c:pt idx="207">
                  <c:v>43035</c:v>
                </c:pt>
                <c:pt idx="208">
                  <c:v>43038</c:v>
                </c:pt>
                <c:pt idx="209">
                  <c:v>43039</c:v>
                </c:pt>
                <c:pt idx="210">
                  <c:v>43040</c:v>
                </c:pt>
                <c:pt idx="211">
                  <c:v>43041</c:v>
                </c:pt>
                <c:pt idx="212">
                  <c:v>43042</c:v>
                </c:pt>
                <c:pt idx="213">
                  <c:v>43045</c:v>
                </c:pt>
                <c:pt idx="214">
                  <c:v>43046</c:v>
                </c:pt>
                <c:pt idx="215">
                  <c:v>43047</c:v>
                </c:pt>
                <c:pt idx="216">
                  <c:v>43048</c:v>
                </c:pt>
                <c:pt idx="217">
                  <c:v>43049</c:v>
                </c:pt>
                <c:pt idx="218">
                  <c:v>43052</c:v>
                </c:pt>
                <c:pt idx="219">
                  <c:v>43053</c:v>
                </c:pt>
                <c:pt idx="220">
                  <c:v>43054</c:v>
                </c:pt>
                <c:pt idx="221">
                  <c:v>43055</c:v>
                </c:pt>
                <c:pt idx="222">
                  <c:v>43056</c:v>
                </c:pt>
                <c:pt idx="223">
                  <c:v>43059</c:v>
                </c:pt>
                <c:pt idx="224">
                  <c:v>43060</c:v>
                </c:pt>
                <c:pt idx="225">
                  <c:v>43061</c:v>
                </c:pt>
                <c:pt idx="226">
                  <c:v>43062</c:v>
                </c:pt>
                <c:pt idx="227">
                  <c:v>43063</c:v>
                </c:pt>
                <c:pt idx="228">
                  <c:v>43066</c:v>
                </c:pt>
                <c:pt idx="229">
                  <c:v>43067</c:v>
                </c:pt>
                <c:pt idx="230">
                  <c:v>43068</c:v>
                </c:pt>
                <c:pt idx="231">
                  <c:v>43069</c:v>
                </c:pt>
                <c:pt idx="232">
                  <c:v>43070</c:v>
                </c:pt>
                <c:pt idx="233">
                  <c:v>43073</c:v>
                </c:pt>
                <c:pt idx="234">
                  <c:v>43074</c:v>
                </c:pt>
                <c:pt idx="235">
                  <c:v>43075</c:v>
                </c:pt>
                <c:pt idx="236">
                  <c:v>43076</c:v>
                </c:pt>
                <c:pt idx="237">
                  <c:v>43077</c:v>
                </c:pt>
                <c:pt idx="238">
                  <c:v>43080</c:v>
                </c:pt>
                <c:pt idx="239">
                  <c:v>43081</c:v>
                </c:pt>
                <c:pt idx="240">
                  <c:v>43082</c:v>
                </c:pt>
                <c:pt idx="241">
                  <c:v>43083</c:v>
                </c:pt>
                <c:pt idx="242">
                  <c:v>43084</c:v>
                </c:pt>
                <c:pt idx="243">
                  <c:v>43087</c:v>
                </c:pt>
                <c:pt idx="244">
                  <c:v>43088</c:v>
                </c:pt>
                <c:pt idx="245">
                  <c:v>43089</c:v>
                </c:pt>
                <c:pt idx="246">
                  <c:v>43090</c:v>
                </c:pt>
                <c:pt idx="247">
                  <c:v>43091</c:v>
                </c:pt>
                <c:pt idx="248">
                  <c:v>43096</c:v>
                </c:pt>
                <c:pt idx="249">
                  <c:v>43097</c:v>
                </c:pt>
                <c:pt idx="250">
                  <c:v>43098</c:v>
                </c:pt>
                <c:pt idx="251">
                  <c:v>43102</c:v>
                </c:pt>
                <c:pt idx="252">
                  <c:v>43103</c:v>
                </c:pt>
                <c:pt idx="253">
                  <c:v>43104</c:v>
                </c:pt>
                <c:pt idx="254">
                  <c:v>43105</c:v>
                </c:pt>
                <c:pt idx="255">
                  <c:v>43108</c:v>
                </c:pt>
                <c:pt idx="256">
                  <c:v>43109</c:v>
                </c:pt>
                <c:pt idx="257">
                  <c:v>43110</c:v>
                </c:pt>
                <c:pt idx="258">
                  <c:v>43111</c:v>
                </c:pt>
                <c:pt idx="259">
                  <c:v>43112</c:v>
                </c:pt>
                <c:pt idx="260">
                  <c:v>43115</c:v>
                </c:pt>
                <c:pt idx="261">
                  <c:v>43116</c:v>
                </c:pt>
                <c:pt idx="262">
                  <c:v>43117</c:v>
                </c:pt>
                <c:pt idx="263">
                  <c:v>43118</c:v>
                </c:pt>
                <c:pt idx="264">
                  <c:v>43119</c:v>
                </c:pt>
                <c:pt idx="265">
                  <c:v>43122</c:v>
                </c:pt>
                <c:pt idx="266">
                  <c:v>43123</c:v>
                </c:pt>
                <c:pt idx="267">
                  <c:v>43124</c:v>
                </c:pt>
                <c:pt idx="268">
                  <c:v>43125</c:v>
                </c:pt>
                <c:pt idx="269">
                  <c:v>43126</c:v>
                </c:pt>
                <c:pt idx="270">
                  <c:v>43129</c:v>
                </c:pt>
                <c:pt idx="271">
                  <c:v>43130</c:v>
                </c:pt>
                <c:pt idx="272">
                  <c:v>43131</c:v>
                </c:pt>
                <c:pt idx="273">
                  <c:v>43132</c:v>
                </c:pt>
                <c:pt idx="274">
                  <c:v>43133</c:v>
                </c:pt>
                <c:pt idx="275">
                  <c:v>43136</c:v>
                </c:pt>
                <c:pt idx="276">
                  <c:v>43137</c:v>
                </c:pt>
                <c:pt idx="277">
                  <c:v>43138</c:v>
                </c:pt>
                <c:pt idx="278">
                  <c:v>43139</c:v>
                </c:pt>
                <c:pt idx="279">
                  <c:v>43140</c:v>
                </c:pt>
                <c:pt idx="280">
                  <c:v>43143</c:v>
                </c:pt>
                <c:pt idx="281">
                  <c:v>43144</c:v>
                </c:pt>
                <c:pt idx="282">
                  <c:v>43145</c:v>
                </c:pt>
                <c:pt idx="283">
                  <c:v>43146</c:v>
                </c:pt>
                <c:pt idx="284">
                  <c:v>43147</c:v>
                </c:pt>
                <c:pt idx="285">
                  <c:v>43150</c:v>
                </c:pt>
                <c:pt idx="286">
                  <c:v>43151</c:v>
                </c:pt>
                <c:pt idx="287">
                  <c:v>43152</c:v>
                </c:pt>
                <c:pt idx="288">
                  <c:v>43153</c:v>
                </c:pt>
                <c:pt idx="289">
                  <c:v>43154</c:v>
                </c:pt>
                <c:pt idx="290">
                  <c:v>43157</c:v>
                </c:pt>
                <c:pt idx="291">
                  <c:v>43158</c:v>
                </c:pt>
                <c:pt idx="292">
                  <c:v>43159</c:v>
                </c:pt>
                <c:pt idx="293">
                  <c:v>43160</c:v>
                </c:pt>
                <c:pt idx="294">
                  <c:v>43161</c:v>
                </c:pt>
                <c:pt idx="295">
                  <c:v>43164</c:v>
                </c:pt>
                <c:pt idx="296">
                  <c:v>43165</c:v>
                </c:pt>
                <c:pt idx="297">
                  <c:v>43166</c:v>
                </c:pt>
                <c:pt idx="298">
                  <c:v>43167</c:v>
                </c:pt>
                <c:pt idx="299">
                  <c:v>43168</c:v>
                </c:pt>
                <c:pt idx="300">
                  <c:v>43171</c:v>
                </c:pt>
                <c:pt idx="301">
                  <c:v>43172</c:v>
                </c:pt>
                <c:pt idx="302">
                  <c:v>43173</c:v>
                </c:pt>
                <c:pt idx="303">
                  <c:v>43174</c:v>
                </c:pt>
                <c:pt idx="304">
                  <c:v>43175</c:v>
                </c:pt>
                <c:pt idx="305">
                  <c:v>43178</c:v>
                </c:pt>
                <c:pt idx="306">
                  <c:v>43179</c:v>
                </c:pt>
                <c:pt idx="307">
                  <c:v>43180</c:v>
                </c:pt>
                <c:pt idx="308">
                  <c:v>43181</c:v>
                </c:pt>
                <c:pt idx="309">
                  <c:v>43182</c:v>
                </c:pt>
                <c:pt idx="310">
                  <c:v>43185</c:v>
                </c:pt>
                <c:pt idx="311">
                  <c:v>43186</c:v>
                </c:pt>
                <c:pt idx="312">
                  <c:v>43187</c:v>
                </c:pt>
                <c:pt idx="313">
                  <c:v>43193</c:v>
                </c:pt>
                <c:pt idx="314">
                  <c:v>43194</c:v>
                </c:pt>
                <c:pt idx="315">
                  <c:v>43195</c:v>
                </c:pt>
                <c:pt idx="316">
                  <c:v>43196</c:v>
                </c:pt>
                <c:pt idx="317">
                  <c:v>43199</c:v>
                </c:pt>
                <c:pt idx="318">
                  <c:v>43200</c:v>
                </c:pt>
                <c:pt idx="319">
                  <c:v>43201</c:v>
                </c:pt>
                <c:pt idx="320">
                  <c:v>43202</c:v>
                </c:pt>
                <c:pt idx="321">
                  <c:v>43203</c:v>
                </c:pt>
                <c:pt idx="322">
                  <c:v>43206</c:v>
                </c:pt>
                <c:pt idx="323">
                  <c:v>43207</c:v>
                </c:pt>
                <c:pt idx="324">
                  <c:v>43208</c:v>
                </c:pt>
                <c:pt idx="325">
                  <c:v>43209</c:v>
                </c:pt>
                <c:pt idx="326">
                  <c:v>43210</c:v>
                </c:pt>
                <c:pt idx="327">
                  <c:v>43213</c:v>
                </c:pt>
                <c:pt idx="328">
                  <c:v>43214</c:v>
                </c:pt>
                <c:pt idx="329">
                  <c:v>43215</c:v>
                </c:pt>
                <c:pt idx="330">
                  <c:v>43216</c:v>
                </c:pt>
                <c:pt idx="331">
                  <c:v>43217</c:v>
                </c:pt>
                <c:pt idx="332">
                  <c:v>43220</c:v>
                </c:pt>
                <c:pt idx="333">
                  <c:v>43222</c:v>
                </c:pt>
                <c:pt idx="334">
                  <c:v>43223</c:v>
                </c:pt>
                <c:pt idx="335">
                  <c:v>43224</c:v>
                </c:pt>
                <c:pt idx="336">
                  <c:v>43227</c:v>
                </c:pt>
                <c:pt idx="337">
                  <c:v>43228</c:v>
                </c:pt>
                <c:pt idx="338">
                  <c:v>43229</c:v>
                </c:pt>
                <c:pt idx="339">
                  <c:v>43231</c:v>
                </c:pt>
                <c:pt idx="340">
                  <c:v>43234</c:v>
                </c:pt>
                <c:pt idx="341">
                  <c:v>43235</c:v>
                </c:pt>
                <c:pt idx="342">
                  <c:v>43236</c:v>
                </c:pt>
                <c:pt idx="343">
                  <c:v>43238</c:v>
                </c:pt>
                <c:pt idx="344">
                  <c:v>43242</c:v>
                </c:pt>
                <c:pt idx="345">
                  <c:v>43243</c:v>
                </c:pt>
                <c:pt idx="346">
                  <c:v>43244</c:v>
                </c:pt>
                <c:pt idx="347">
                  <c:v>43245</c:v>
                </c:pt>
                <c:pt idx="348">
                  <c:v>43248</c:v>
                </c:pt>
                <c:pt idx="349">
                  <c:v>43249</c:v>
                </c:pt>
                <c:pt idx="350">
                  <c:v>43250</c:v>
                </c:pt>
                <c:pt idx="351">
                  <c:v>43251</c:v>
                </c:pt>
                <c:pt idx="352">
                  <c:v>43252</c:v>
                </c:pt>
                <c:pt idx="353">
                  <c:v>43255</c:v>
                </c:pt>
                <c:pt idx="354">
                  <c:v>43256</c:v>
                </c:pt>
                <c:pt idx="355">
                  <c:v>43257</c:v>
                </c:pt>
                <c:pt idx="356">
                  <c:v>43258</c:v>
                </c:pt>
                <c:pt idx="357">
                  <c:v>43259</c:v>
                </c:pt>
                <c:pt idx="358">
                  <c:v>43262</c:v>
                </c:pt>
                <c:pt idx="359">
                  <c:v>43263</c:v>
                </c:pt>
                <c:pt idx="360">
                  <c:v>43264</c:v>
                </c:pt>
                <c:pt idx="361">
                  <c:v>43265</c:v>
                </c:pt>
                <c:pt idx="362">
                  <c:v>43266</c:v>
                </c:pt>
                <c:pt idx="363">
                  <c:v>43269</c:v>
                </c:pt>
                <c:pt idx="364">
                  <c:v>43270</c:v>
                </c:pt>
                <c:pt idx="365">
                  <c:v>43271</c:v>
                </c:pt>
                <c:pt idx="366">
                  <c:v>43272</c:v>
                </c:pt>
                <c:pt idx="367">
                  <c:v>43273</c:v>
                </c:pt>
                <c:pt idx="368">
                  <c:v>43276</c:v>
                </c:pt>
                <c:pt idx="369">
                  <c:v>43277</c:v>
                </c:pt>
                <c:pt idx="370">
                  <c:v>43278</c:v>
                </c:pt>
                <c:pt idx="371">
                  <c:v>43279</c:v>
                </c:pt>
                <c:pt idx="372">
                  <c:v>43280</c:v>
                </c:pt>
                <c:pt idx="373">
                  <c:v>43283</c:v>
                </c:pt>
                <c:pt idx="374">
                  <c:v>43284</c:v>
                </c:pt>
                <c:pt idx="375">
                  <c:v>43285</c:v>
                </c:pt>
                <c:pt idx="376">
                  <c:v>43286</c:v>
                </c:pt>
                <c:pt idx="377">
                  <c:v>43287</c:v>
                </c:pt>
                <c:pt idx="378">
                  <c:v>43290</c:v>
                </c:pt>
                <c:pt idx="379">
                  <c:v>43291</c:v>
                </c:pt>
                <c:pt idx="380">
                  <c:v>43292</c:v>
                </c:pt>
                <c:pt idx="381">
                  <c:v>43293</c:v>
                </c:pt>
                <c:pt idx="382">
                  <c:v>43294</c:v>
                </c:pt>
                <c:pt idx="383">
                  <c:v>43297</c:v>
                </c:pt>
                <c:pt idx="384">
                  <c:v>43298</c:v>
                </c:pt>
                <c:pt idx="385">
                  <c:v>43299</c:v>
                </c:pt>
                <c:pt idx="386">
                  <c:v>43300</c:v>
                </c:pt>
                <c:pt idx="387">
                  <c:v>43301</c:v>
                </c:pt>
                <c:pt idx="388">
                  <c:v>43304</c:v>
                </c:pt>
                <c:pt idx="389">
                  <c:v>43305</c:v>
                </c:pt>
                <c:pt idx="390">
                  <c:v>43306</c:v>
                </c:pt>
                <c:pt idx="391">
                  <c:v>43307</c:v>
                </c:pt>
                <c:pt idx="392">
                  <c:v>43308</c:v>
                </c:pt>
                <c:pt idx="393">
                  <c:v>43311</c:v>
                </c:pt>
                <c:pt idx="394">
                  <c:v>43312</c:v>
                </c:pt>
                <c:pt idx="395">
                  <c:v>43313</c:v>
                </c:pt>
                <c:pt idx="396">
                  <c:v>43314</c:v>
                </c:pt>
                <c:pt idx="397">
                  <c:v>43315</c:v>
                </c:pt>
                <c:pt idx="398">
                  <c:v>43318</c:v>
                </c:pt>
                <c:pt idx="399">
                  <c:v>43319</c:v>
                </c:pt>
                <c:pt idx="400">
                  <c:v>43320</c:v>
                </c:pt>
                <c:pt idx="401">
                  <c:v>43321</c:v>
                </c:pt>
                <c:pt idx="402">
                  <c:v>43322</c:v>
                </c:pt>
                <c:pt idx="403">
                  <c:v>43325</c:v>
                </c:pt>
                <c:pt idx="404">
                  <c:v>43326</c:v>
                </c:pt>
                <c:pt idx="405">
                  <c:v>43327</c:v>
                </c:pt>
                <c:pt idx="406">
                  <c:v>43328</c:v>
                </c:pt>
                <c:pt idx="407">
                  <c:v>43329</c:v>
                </c:pt>
                <c:pt idx="408">
                  <c:v>43332</c:v>
                </c:pt>
                <c:pt idx="409">
                  <c:v>43333</c:v>
                </c:pt>
                <c:pt idx="410">
                  <c:v>43334</c:v>
                </c:pt>
                <c:pt idx="411">
                  <c:v>43335</c:v>
                </c:pt>
                <c:pt idx="412">
                  <c:v>43336</c:v>
                </c:pt>
                <c:pt idx="413">
                  <c:v>43339</c:v>
                </c:pt>
                <c:pt idx="414">
                  <c:v>43340</c:v>
                </c:pt>
                <c:pt idx="415">
                  <c:v>43341</c:v>
                </c:pt>
                <c:pt idx="416">
                  <c:v>43342</c:v>
                </c:pt>
                <c:pt idx="417">
                  <c:v>43343</c:v>
                </c:pt>
                <c:pt idx="418">
                  <c:v>43346</c:v>
                </c:pt>
                <c:pt idx="419">
                  <c:v>43347</c:v>
                </c:pt>
                <c:pt idx="420">
                  <c:v>43348</c:v>
                </c:pt>
                <c:pt idx="421">
                  <c:v>43349</c:v>
                </c:pt>
                <c:pt idx="422">
                  <c:v>43350</c:v>
                </c:pt>
                <c:pt idx="423">
                  <c:v>43353</c:v>
                </c:pt>
                <c:pt idx="424">
                  <c:v>43354</c:v>
                </c:pt>
                <c:pt idx="425">
                  <c:v>43355</c:v>
                </c:pt>
                <c:pt idx="426">
                  <c:v>43356</c:v>
                </c:pt>
                <c:pt idx="427">
                  <c:v>43357</c:v>
                </c:pt>
                <c:pt idx="428">
                  <c:v>43360</c:v>
                </c:pt>
                <c:pt idx="429">
                  <c:v>43361</c:v>
                </c:pt>
                <c:pt idx="430">
                  <c:v>43362</c:v>
                </c:pt>
                <c:pt idx="431">
                  <c:v>43363</c:v>
                </c:pt>
                <c:pt idx="432">
                  <c:v>43364</c:v>
                </c:pt>
                <c:pt idx="433">
                  <c:v>43367</c:v>
                </c:pt>
                <c:pt idx="434">
                  <c:v>43368</c:v>
                </c:pt>
                <c:pt idx="435">
                  <c:v>43369</c:v>
                </c:pt>
                <c:pt idx="436">
                  <c:v>43370</c:v>
                </c:pt>
                <c:pt idx="437">
                  <c:v>43371</c:v>
                </c:pt>
                <c:pt idx="438">
                  <c:v>43374</c:v>
                </c:pt>
                <c:pt idx="439">
                  <c:v>43375</c:v>
                </c:pt>
                <c:pt idx="440">
                  <c:v>43376</c:v>
                </c:pt>
                <c:pt idx="441">
                  <c:v>43377</c:v>
                </c:pt>
                <c:pt idx="442">
                  <c:v>43378</c:v>
                </c:pt>
                <c:pt idx="443">
                  <c:v>43381</c:v>
                </c:pt>
                <c:pt idx="444">
                  <c:v>43382</c:v>
                </c:pt>
                <c:pt idx="445">
                  <c:v>43383</c:v>
                </c:pt>
                <c:pt idx="446">
                  <c:v>43384</c:v>
                </c:pt>
                <c:pt idx="447">
                  <c:v>43385</c:v>
                </c:pt>
                <c:pt idx="448">
                  <c:v>43388</c:v>
                </c:pt>
                <c:pt idx="449">
                  <c:v>43389</c:v>
                </c:pt>
                <c:pt idx="450">
                  <c:v>43390</c:v>
                </c:pt>
                <c:pt idx="451">
                  <c:v>43391</c:v>
                </c:pt>
                <c:pt idx="452">
                  <c:v>43392</c:v>
                </c:pt>
                <c:pt idx="453">
                  <c:v>43395</c:v>
                </c:pt>
                <c:pt idx="454">
                  <c:v>43396</c:v>
                </c:pt>
                <c:pt idx="455">
                  <c:v>43397</c:v>
                </c:pt>
                <c:pt idx="456">
                  <c:v>43398</c:v>
                </c:pt>
                <c:pt idx="457">
                  <c:v>43399</c:v>
                </c:pt>
                <c:pt idx="458">
                  <c:v>43402</c:v>
                </c:pt>
                <c:pt idx="459">
                  <c:v>43403</c:v>
                </c:pt>
                <c:pt idx="460">
                  <c:v>43404</c:v>
                </c:pt>
                <c:pt idx="461">
                  <c:v>43405</c:v>
                </c:pt>
                <c:pt idx="462">
                  <c:v>43406</c:v>
                </c:pt>
                <c:pt idx="463">
                  <c:v>43409</c:v>
                </c:pt>
                <c:pt idx="464">
                  <c:v>43410</c:v>
                </c:pt>
                <c:pt idx="465">
                  <c:v>43411</c:v>
                </c:pt>
                <c:pt idx="466">
                  <c:v>43412</c:v>
                </c:pt>
                <c:pt idx="467">
                  <c:v>43413</c:v>
                </c:pt>
                <c:pt idx="468">
                  <c:v>43416</c:v>
                </c:pt>
                <c:pt idx="469">
                  <c:v>43417</c:v>
                </c:pt>
                <c:pt idx="470">
                  <c:v>43418</c:v>
                </c:pt>
                <c:pt idx="471">
                  <c:v>43419</c:v>
                </c:pt>
                <c:pt idx="472">
                  <c:v>43420</c:v>
                </c:pt>
                <c:pt idx="473">
                  <c:v>43423</c:v>
                </c:pt>
                <c:pt idx="474">
                  <c:v>43424</c:v>
                </c:pt>
                <c:pt idx="475">
                  <c:v>43425</c:v>
                </c:pt>
                <c:pt idx="476">
                  <c:v>43426</c:v>
                </c:pt>
                <c:pt idx="477">
                  <c:v>43427</c:v>
                </c:pt>
                <c:pt idx="478">
                  <c:v>43430</c:v>
                </c:pt>
                <c:pt idx="479">
                  <c:v>43431</c:v>
                </c:pt>
                <c:pt idx="480">
                  <c:v>43432</c:v>
                </c:pt>
                <c:pt idx="481">
                  <c:v>43433</c:v>
                </c:pt>
                <c:pt idx="482">
                  <c:v>43434</c:v>
                </c:pt>
                <c:pt idx="483">
                  <c:v>43437</c:v>
                </c:pt>
                <c:pt idx="484">
                  <c:v>43438</c:v>
                </c:pt>
                <c:pt idx="485">
                  <c:v>43439</c:v>
                </c:pt>
                <c:pt idx="486">
                  <c:v>43440</c:v>
                </c:pt>
                <c:pt idx="487">
                  <c:v>43441</c:v>
                </c:pt>
                <c:pt idx="488">
                  <c:v>43444</c:v>
                </c:pt>
                <c:pt idx="489">
                  <c:v>43445</c:v>
                </c:pt>
                <c:pt idx="490">
                  <c:v>43446</c:v>
                </c:pt>
                <c:pt idx="491">
                  <c:v>43447</c:v>
                </c:pt>
                <c:pt idx="492">
                  <c:v>43448</c:v>
                </c:pt>
                <c:pt idx="493">
                  <c:v>43451</c:v>
                </c:pt>
                <c:pt idx="494">
                  <c:v>43452</c:v>
                </c:pt>
                <c:pt idx="495">
                  <c:v>43453</c:v>
                </c:pt>
                <c:pt idx="496">
                  <c:v>43454</c:v>
                </c:pt>
                <c:pt idx="497">
                  <c:v>43455</c:v>
                </c:pt>
                <c:pt idx="498">
                  <c:v>43461</c:v>
                </c:pt>
                <c:pt idx="499">
                  <c:v>43462</c:v>
                </c:pt>
                <c:pt idx="500">
                  <c:v>43467</c:v>
                </c:pt>
                <c:pt idx="501">
                  <c:v>43468</c:v>
                </c:pt>
                <c:pt idx="502">
                  <c:v>43469</c:v>
                </c:pt>
                <c:pt idx="503">
                  <c:v>43472</c:v>
                </c:pt>
                <c:pt idx="504">
                  <c:v>43473</c:v>
                </c:pt>
                <c:pt idx="505">
                  <c:v>43474</c:v>
                </c:pt>
                <c:pt idx="506">
                  <c:v>43475</c:v>
                </c:pt>
                <c:pt idx="507">
                  <c:v>43476</c:v>
                </c:pt>
                <c:pt idx="508">
                  <c:v>43479</c:v>
                </c:pt>
                <c:pt idx="509">
                  <c:v>43480</c:v>
                </c:pt>
                <c:pt idx="510">
                  <c:v>43481</c:v>
                </c:pt>
                <c:pt idx="511">
                  <c:v>43482</c:v>
                </c:pt>
                <c:pt idx="512">
                  <c:v>43483</c:v>
                </c:pt>
                <c:pt idx="513">
                  <c:v>43486</c:v>
                </c:pt>
                <c:pt idx="514">
                  <c:v>43487</c:v>
                </c:pt>
                <c:pt idx="515">
                  <c:v>43488</c:v>
                </c:pt>
                <c:pt idx="516">
                  <c:v>43489</c:v>
                </c:pt>
                <c:pt idx="517">
                  <c:v>43490</c:v>
                </c:pt>
                <c:pt idx="518">
                  <c:v>43493</c:v>
                </c:pt>
                <c:pt idx="519">
                  <c:v>43494</c:v>
                </c:pt>
                <c:pt idx="520">
                  <c:v>43495</c:v>
                </c:pt>
                <c:pt idx="521">
                  <c:v>43496</c:v>
                </c:pt>
                <c:pt idx="522">
                  <c:v>43497</c:v>
                </c:pt>
                <c:pt idx="523">
                  <c:v>43500</c:v>
                </c:pt>
                <c:pt idx="524">
                  <c:v>43501</c:v>
                </c:pt>
                <c:pt idx="525">
                  <c:v>43502</c:v>
                </c:pt>
                <c:pt idx="526">
                  <c:v>43503</c:v>
                </c:pt>
                <c:pt idx="527">
                  <c:v>43504</c:v>
                </c:pt>
                <c:pt idx="528">
                  <c:v>43507</c:v>
                </c:pt>
                <c:pt idx="529">
                  <c:v>43508</c:v>
                </c:pt>
                <c:pt idx="530">
                  <c:v>43509</c:v>
                </c:pt>
                <c:pt idx="531">
                  <c:v>43510</c:v>
                </c:pt>
                <c:pt idx="532">
                  <c:v>43511</c:v>
                </c:pt>
                <c:pt idx="533">
                  <c:v>43514</c:v>
                </c:pt>
                <c:pt idx="534">
                  <c:v>43515</c:v>
                </c:pt>
                <c:pt idx="535">
                  <c:v>43516</c:v>
                </c:pt>
                <c:pt idx="536">
                  <c:v>43517</c:v>
                </c:pt>
                <c:pt idx="537">
                  <c:v>43518</c:v>
                </c:pt>
                <c:pt idx="538">
                  <c:v>43521</c:v>
                </c:pt>
                <c:pt idx="539">
                  <c:v>43522</c:v>
                </c:pt>
                <c:pt idx="540">
                  <c:v>43523</c:v>
                </c:pt>
                <c:pt idx="541">
                  <c:v>43524</c:v>
                </c:pt>
                <c:pt idx="542">
                  <c:v>43525</c:v>
                </c:pt>
                <c:pt idx="543">
                  <c:v>43528</c:v>
                </c:pt>
                <c:pt idx="544">
                  <c:v>43529</c:v>
                </c:pt>
                <c:pt idx="545">
                  <c:v>43530</c:v>
                </c:pt>
                <c:pt idx="546">
                  <c:v>43531</c:v>
                </c:pt>
                <c:pt idx="547">
                  <c:v>43532</c:v>
                </c:pt>
                <c:pt idx="548">
                  <c:v>43535</c:v>
                </c:pt>
                <c:pt idx="549">
                  <c:v>43536</c:v>
                </c:pt>
                <c:pt idx="550">
                  <c:v>43537</c:v>
                </c:pt>
                <c:pt idx="551">
                  <c:v>43538</c:v>
                </c:pt>
                <c:pt idx="552">
                  <c:v>43539</c:v>
                </c:pt>
                <c:pt idx="553">
                  <c:v>43542</c:v>
                </c:pt>
                <c:pt idx="554">
                  <c:v>43543</c:v>
                </c:pt>
                <c:pt idx="555">
                  <c:v>43544</c:v>
                </c:pt>
                <c:pt idx="556">
                  <c:v>43545</c:v>
                </c:pt>
                <c:pt idx="557">
                  <c:v>43546</c:v>
                </c:pt>
                <c:pt idx="558">
                  <c:v>43549</c:v>
                </c:pt>
                <c:pt idx="559">
                  <c:v>43550</c:v>
                </c:pt>
                <c:pt idx="560">
                  <c:v>43551</c:v>
                </c:pt>
                <c:pt idx="561">
                  <c:v>43552</c:v>
                </c:pt>
                <c:pt idx="562">
                  <c:v>43553</c:v>
                </c:pt>
                <c:pt idx="563">
                  <c:v>43556</c:v>
                </c:pt>
                <c:pt idx="564">
                  <c:v>43557</c:v>
                </c:pt>
                <c:pt idx="565">
                  <c:v>43558</c:v>
                </c:pt>
                <c:pt idx="566">
                  <c:v>43559</c:v>
                </c:pt>
                <c:pt idx="567">
                  <c:v>43560</c:v>
                </c:pt>
                <c:pt idx="568">
                  <c:v>43563</c:v>
                </c:pt>
                <c:pt idx="569">
                  <c:v>43564</c:v>
                </c:pt>
                <c:pt idx="570">
                  <c:v>43565</c:v>
                </c:pt>
                <c:pt idx="571">
                  <c:v>43566</c:v>
                </c:pt>
                <c:pt idx="572">
                  <c:v>43567</c:v>
                </c:pt>
                <c:pt idx="573">
                  <c:v>43570</c:v>
                </c:pt>
                <c:pt idx="574">
                  <c:v>43571</c:v>
                </c:pt>
                <c:pt idx="575">
                  <c:v>43572</c:v>
                </c:pt>
                <c:pt idx="576">
                  <c:v>43578</c:v>
                </c:pt>
                <c:pt idx="577">
                  <c:v>43579</c:v>
                </c:pt>
                <c:pt idx="578">
                  <c:v>43580</c:v>
                </c:pt>
                <c:pt idx="579">
                  <c:v>43581</c:v>
                </c:pt>
                <c:pt idx="580">
                  <c:v>43584</c:v>
                </c:pt>
                <c:pt idx="581">
                  <c:v>43585</c:v>
                </c:pt>
                <c:pt idx="582">
                  <c:v>43587</c:v>
                </c:pt>
                <c:pt idx="583">
                  <c:v>43588</c:v>
                </c:pt>
                <c:pt idx="584">
                  <c:v>43591</c:v>
                </c:pt>
                <c:pt idx="585">
                  <c:v>43592</c:v>
                </c:pt>
                <c:pt idx="586">
                  <c:v>43593</c:v>
                </c:pt>
                <c:pt idx="587">
                  <c:v>43594</c:v>
                </c:pt>
                <c:pt idx="588">
                  <c:v>43595</c:v>
                </c:pt>
                <c:pt idx="589">
                  <c:v>43598</c:v>
                </c:pt>
                <c:pt idx="590">
                  <c:v>43599</c:v>
                </c:pt>
                <c:pt idx="591">
                  <c:v>43600</c:v>
                </c:pt>
                <c:pt idx="592">
                  <c:v>43601</c:v>
                </c:pt>
                <c:pt idx="593">
                  <c:v>43605</c:v>
                </c:pt>
                <c:pt idx="594">
                  <c:v>43606</c:v>
                </c:pt>
                <c:pt idx="595">
                  <c:v>43607</c:v>
                </c:pt>
                <c:pt idx="596">
                  <c:v>43608</c:v>
                </c:pt>
                <c:pt idx="597">
                  <c:v>43609</c:v>
                </c:pt>
                <c:pt idx="598">
                  <c:v>43612</c:v>
                </c:pt>
                <c:pt idx="599">
                  <c:v>43613</c:v>
                </c:pt>
                <c:pt idx="600">
                  <c:v>43614</c:v>
                </c:pt>
                <c:pt idx="601">
                  <c:v>43616</c:v>
                </c:pt>
                <c:pt idx="602">
                  <c:v>43619</c:v>
                </c:pt>
                <c:pt idx="603">
                  <c:v>43620</c:v>
                </c:pt>
                <c:pt idx="604">
                  <c:v>43621</c:v>
                </c:pt>
                <c:pt idx="605">
                  <c:v>43622</c:v>
                </c:pt>
                <c:pt idx="606">
                  <c:v>43623</c:v>
                </c:pt>
                <c:pt idx="607">
                  <c:v>43627</c:v>
                </c:pt>
                <c:pt idx="608">
                  <c:v>43628</c:v>
                </c:pt>
                <c:pt idx="609">
                  <c:v>43629</c:v>
                </c:pt>
                <c:pt idx="610">
                  <c:v>43630</c:v>
                </c:pt>
                <c:pt idx="611">
                  <c:v>43633</c:v>
                </c:pt>
                <c:pt idx="612">
                  <c:v>43634</c:v>
                </c:pt>
                <c:pt idx="613">
                  <c:v>43635</c:v>
                </c:pt>
                <c:pt idx="614">
                  <c:v>43636</c:v>
                </c:pt>
                <c:pt idx="615">
                  <c:v>43637</c:v>
                </c:pt>
                <c:pt idx="616">
                  <c:v>43640</c:v>
                </c:pt>
                <c:pt idx="617">
                  <c:v>43641</c:v>
                </c:pt>
                <c:pt idx="618">
                  <c:v>43642</c:v>
                </c:pt>
                <c:pt idx="619">
                  <c:v>43643</c:v>
                </c:pt>
                <c:pt idx="620">
                  <c:v>43644</c:v>
                </c:pt>
                <c:pt idx="621">
                  <c:v>43647</c:v>
                </c:pt>
                <c:pt idx="622">
                  <c:v>43648</c:v>
                </c:pt>
                <c:pt idx="623">
                  <c:v>43649</c:v>
                </c:pt>
                <c:pt idx="624">
                  <c:v>43650</c:v>
                </c:pt>
                <c:pt idx="625">
                  <c:v>43651</c:v>
                </c:pt>
                <c:pt idx="626">
                  <c:v>43654</c:v>
                </c:pt>
                <c:pt idx="627">
                  <c:v>43655</c:v>
                </c:pt>
                <c:pt idx="628">
                  <c:v>43656</c:v>
                </c:pt>
                <c:pt idx="629">
                  <c:v>43657</c:v>
                </c:pt>
                <c:pt idx="630">
                  <c:v>43658</c:v>
                </c:pt>
                <c:pt idx="631">
                  <c:v>43661</c:v>
                </c:pt>
                <c:pt idx="632">
                  <c:v>43662</c:v>
                </c:pt>
                <c:pt idx="633">
                  <c:v>43663</c:v>
                </c:pt>
                <c:pt idx="634">
                  <c:v>43664</c:v>
                </c:pt>
                <c:pt idx="635">
                  <c:v>43665</c:v>
                </c:pt>
                <c:pt idx="636">
                  <c:v>43668</c:v>
                </c:pt>
                <c:pt idx="637">
                  <c:v>43669</c:v>
                </c:pt>
                <c:pt idx="638">
                  <c:v>43670</c:v>
                </c:pt>
                <c:pt idx="639">
                  <c:v>43671</c:v>
                </c:pt>
                <c:pt idx="640">
                  <c:v>43672</c:v>
                </c:pt>
                <c:pt idx="641">
                  <c:v>43675</c:v>
                </c:pt>
                <c:pt idx="642">
                  <c:v>43676</c:v>
                </c:pt>
                <c:pt idx="643">
                  <c:v>43677</c:v>
                </c:pt>
                <c:pt idx="644">
                  <c:v>43678</c:v>
                </c:pt>
                <c:pt idx="645">
                  <c:v>43679</c:v>
                </c:pt>
                <c:pt idx="646">
                  <c:v>43682</c:v>
                </c:pt>
                <c:pt idx="647">
                  <c:v>43683</c:v>
                </c:pt>
                <c:pt idx="648">
                  <c:v>43684</c:v>
                </c:pt>
                <c:pt idx="649">
                  <c:v>43685</c:v>
                </c:pt>
                <c:pt idx="650">
                  <c:v>43686</c:v>
                </c:pt>
                <c:pt idx="651">
                  <c:v>43689</c:v>
                </c:pt>
                <c:pt idx="652">
                  <c:v>43690</c:v>
                </c:pt>
                <c:pt idx="653">
                  <c:v>43691</c:v>
                </c:pt>
                <c:pt idx="654">
                  <c:v>43692</c:v>
                </c:pt>
                <c:pt idx="655">
                  <c:v>43693</c:v>
                </c:pt>
                <c:pt idx="656">
                  <c:v>43696</c:v>
                </c:pt>
                <c:pt idx="657">
                  <c:v>43697</c:v>
                </c:pt>
                <c:pt idx="658">
                  <c:v>43698</c:v>
                </c:pt>
                <c:pt idx="659">
                  <c:v>43699</c:v>
                </c:pt>
                <c:pt idx="660">
                  <c:v>43700</c:v>
                </c:pt>
                <c:pt idx="661">
                  <c:v>43703</c:v>
                </c:pt>
                <c:pt idx="662">
                  <c:v>43704</c:v>
                </c:pt>
                <c:pt idx="663">
                  <c:v>43705</c:v>
                </c:pt>
                <c:pt idx="664">
                  <c:v>43706</c:v>
                </c:pt>
                <c:pt idx="665">
                  <c:v>43707</c:v>
                </c:pt>
                <c:pt idx="666">
                  <c:v>43710</c:v>
                </c:pt>
                <c:pt idx="667">
                  <c:v>43711</c:v>
                </c:pt>
                <c:pt idx="668">
                  <c:v>43712</c:v>
                </c:pt>
                <c:pt idx="669">
                  <c:v>43713</c:v>
                </c:pt>
                <c:pt idx="670">
                  <c:v>43714</c:v>
                </c:pt>
                <c:pt idx="671">
                  <c:v>43717</c:v>
                </c:pt>
                <c:pt idx="672">
                  <c:v>43718</c:v>
                </c:pt>
                <c:pt idx="673">
                  <c:v>43719</c:v>
                </c:pt>
                <c:pt idx="674">
                  <c:v>43720</c:v>
                </c:pt>
                <c:pt idx="675">
                  <c:v>43721</c:v>
                </c:pt>
                <c:pt idx="676">
                  <c:v>43724</c:v>
                </c:pt>
                <c:pt idx="677">
                  <c:v>43725</c:v>
                </c:pt>
                <c:pt idx="678">
                  <c:v>43726</c:v>
                </c:pt>
                <c:pt idx="679">
                  <c:v>43727</c:v>
                </c:pt>
                <c:pt idx="680">
                  <c:v>43728</c:v>
                </c:pt>
                <c:pt idx="681">
                  <c:v>43731</c:v>
                </c:pt>
                <c:pt idx="682">
                  <c:v>43732</c:v>
                </c:pt>
                <c:pt idx="683">
                  <c:v>43733</c:v>
                </c:pt>
                <c:pt idx="684">
                  <c:v>43734</c:v>
                </c:pt>
                <c:pt idx="685">
                  <c:v>43735</c:v>
                </c:pt>
                <c:pt idx="686">
                  <c:v>43738</c:v>
                </c:pt>
                <c:pt idx="687">
                  <c:v>43739</c:v>
                </c:pt>
                <c:pt idx="688">
                  <c:v>43740</c:v>
                </c:pt>
                <c:pt idx="689">
                  <c:v>43741</c:v>
                </c:pt>
                <c:pt idx="690">
                  <c:v>43742</c:v>
                </c:pt>
                <c:pt idx="691">
                  <c:v>43745</c:v>
                </c:pt>
                <c:pt idx="692">
                  <c:v>43746</c:v>
                </c:pt>
                <c:pt idx="693">
                  <c:v>43747</c:v>
                </c:pt>
                <c:pt idx="694">
                  <c:v>43748</c:v>
                </c:pt>
                <c:pt idx="695">
                  <c:v>43749</c:v>
                </c:pt>
                <c:pt idx="696">
                  <c:v>43752</c:v>
                </c:pt>
                <c:pt idx="697">
                  <c:v>43753</c:v>
                </c:pt>
                <c:pt idx="698">
                  <c:v>43754</c:v>
                </c:pt>
                <c:pt idx="699">
                  <c:v>43755</c:v>
                </c:pt>
                <c:pt idx="700">
                  <c:v>43756</c:v>
                </c:pt>
                <c:pt idx="701">
                  <c:v>43759</c:v>
                </c:pt>
                <c:pt idx="702">
                  <c:v>43760</c:v>
                </c:pt>
                <c:pt idx="703">
                  <c:v>43761</c:v>
                </c:pt>
                <c:pt idx="704">
                  <c:v>43762</c:v>
                </c:pt>
                <c:pt idx="705">
                  <c:v>43763</c:v>
                </c:pt>
                <c:pt idx="706">
                  <c:v>43766</c:v>
                </c:pt>
                <c:pt idx="707">
                  <c:v>43767</c:v>
                </c:pt>
                <c:pt idx="708">
                  <c:v>43768</c:v>
                </c:pt>
                <c:pt idx="709">
                  <c:v>43769</c:v>
                </c:pt>
                <c:pt idx="710">
                  <c:v>43770</c:v>
                </c:pt>
                <c:pt idx="711">
                  <c:v>43773</c:v>
                </c:pt>
                <c:pt idx="712">
                  <c:v>43774</c:v>
                </c:pt>
                <c:pt idx="713">
                  <c:v>43775</c:v>
                </c:pt>
                <c:pt idx="714">
                  <c:v>43776</c:v>
                </c:pt>
                <c:pt idx="715">
                  <c:v>43777</c:v>
                </c:pt>
                <c:pt idx="716">
                  <c:v>43780</c:v>
                </c:pt>
                <c:pt idx="717">
                  <c:v>43781</c:v>
                </c:pt>
                <c:pt idx="718">
                  <c:v>43782</c:v>
                </c:pt>
                <c:pt idx="719">
                  <c:v>43783</c:v>
                </c:pt>
                <c:pt idx="720">
                  <c:v>43784</c:v>
                </c:pt>
                <c:pt idx="721">
                  <c:v>43787</c:v>
                </c:pt>
                <c:pt idx="722">
                  <c:v>43788</c:v>
                </c:pt>
                <c:pt idx="723">
                  <c:v>43789</c:v>
                </c:pt>
                <c:pt idx="724">
                  <c:v>43790</c:v>
                </c:pt>
                <c:pt idx="725">
                  <c:v>43791</c:v>
                </c:pt>
                <c:pt idx="726">
                  <c:v>43794</c:v>
                </c:pt>
                <c:pt idx="727">
                  <c:v>43795</c:v>
                </c:pt>
                <c:pt idx="728">
                  <c:v>43796</c:v>
                </c:pt>
                <c:pt idx="729">
                  <c:v>43797</c:v>
                </c:pt>
                <c:pt idx="730">
                  <c:v>43798</c:v>
                </c:pt>
                <c:pt idx="731">
                  <c:v>43801</c:v>
                </c:pt>
                <c:pt idx="732">
                  <c:v>43802</c:v>
                </c:pt>
                <c:pt idx="733">
                  <c:v>43803</c:v>
                </c:pt>
                <c:pt idx="734">
                  <c:v>43804</c:v>
                </c:pt>
                <c:pt idx="735">
                  <c:v>43805</c:v>
                </c:pt>
                <c:pt idx="736">
                  <c:v>43808</c:v>
                </c:pt>
                <c:pt idx="737">
                  <c:v>43809</c:v>
                </c:pt>
                <c:pt idx="738">
                  <c:v>43810</c:v>
                </c:pt>
                <c:pt idx="739">
                  <c:v>43811</c:v>
                </c:pt>
                <c:pt idx="740">
                  <c:v>43812</c:v>
                </c:pt>
                <c:pt idx="741">
                  <c:v>43815</c:v>
                </c:pt>
                <c:pt idx="742">
                  <c:v>43816</c:v>
                </c:pt>
                <c:pt idx="743">
                  <c:v>43817</c:v>
                </c:pt>
                <c:pt idx="744">
                  <c:v>43818</c:v>
                </c:pt>
                <c:pt idx="745">
                  <c:v>43819</c:v>
                </c:pt>
                <c:pt idx="746">
                  <c:v>43822</c:v>
                </c:pt>
                <c:pt idx="747">
                  <c:v>43826</c:v>
                </c:pt>
                <c:pt idx="748">
                  <c:v>43829</c:v>
                </c:pt>
                <c:pt idx="749">
                  <c:v>43832</c:v>
                </c:pt>
                <c:pt idx="750">
                  <c:v>43833</c:v>
                </c:pt>
                <c:pt idx="751">
                  <c:v>43836</c:v>
                </c:pt>
                <c:pt idx="752">
                  <c:v>43837</c:v>
                </c:pt>
                <c:pt idx="753">
                  <c:v>43838</c:v>
                </c:pt>
                <c:pt idx="754">
                  <c:v>43839</c:v>
                </c:pt>
                <c:pt idx="755">
                  <c:v>43840</c:v>
                </c:pt>
                <c:pt idx="756">
                  <c:v>43843</c:v>
                </c:pt>
                <c:pt idx="757">
                  <c:v>43844</c:v>
                </c:pt>
                <c:pt idx="758">
                  <c:v>43845</c:v>
                </c:pt>
                <c:pt idx="759">
                  <c:v>43846</c:v>
                </c:pt>
                <c:pt idx="760">
                  <c:v>43847</c:v>
                </c:pt>
                <c:pt idx="761">
                  <c:v>43850</c:v>
                </c:pt>
                <c:pt idx="762">
                  <c:v>43851</c:v>
                </c:pt>
                <c:pt idx="763">
                  <c:v>43852</c:v>
                </c:pt>
                <c:pt idx="764">
                  <c:v>43853</c:v>
                </c:pt>
                <c:pt idx="765">
                  <c:v>43854</c:v>
                </c:pt>
                <c:pt idx="766">
                  <c:v>43857</c:v>
                </c:pt>
                <c:pt idx="767">
                  <c:v>43858</c:v>
                </c:pt>
                <c:pt idx="768">
                  <c:v>43859</c:v>
                </c:pt>
                <c:pt idx="769">
                  <c:v>43860</c:v>
                </c:pt>
                <c:pt idx="770">
                  <c:v>43861</c:v>
                </c:pt>
                <c:pt idx="771">
                  <c:v>43864</c:v>
                </c:pt>
                <c:pt idx="772">
                  <c:v>43865</c:v>
                </c:pt>
                <c:pt idx="773">
                  <c:v>43866</c:v>
                </c:pt>
                <c:pt idx="774">
                  <c:v>43867</c:v>
                </c:pt>
                <c:pt idx="775">
                  <c:v>43868</c:v>
                </c:pt>
                <c:pt idx="776">
                  <c:v>43871</c:v>
                </c:pt>
                <c:pt idx="777">
                  <c:v>43872</c:v>
                </c:pt>
                <c:pt idx="778">
                  <c:v>43873</c:v>
                </c:pt>
                <c:pt idx="779">
                  <c:v>43874</c:v>
                </c:pt>
                <c:pt idx="780">
                  <c:v>43875</c:v>
                </c:pt>
                <c:pt idx="781">
                  <c:v>43878</c:v>
                </c:pt>
                <c:pt idx="782">
                  <c:v>43879</c:v>
                </c:pt>
                <c:pt idx="783">
                  <c:v>43880</c:v>
                </c:pt>
                <c:pt idx="784">
                  <c:v>43881</c:v>
                </c:pt>
                <c:pt idx="785">
                  <c:v>43882</c:v>
                </c:pt>
                <c:pt idx="786">
                  <c:v>43885</c:v>
                </c:pt>
                <c:pt idx="787">
                  <c:v>43886</c:v>
                </c:pt>
                <c:pt idx="788">
                  <c:v>43887</c:v>
                </c:pt>
                <c:pt idx="789">
                  <c:v>43888</c:v>
                </c:pt>
                <c:pt idx="790">
                  <c:v>43889</c:v>
                </c:pt>
                <c:pt idx="791">
                  <c:v>43892</c:v>
                </c:pt>
                <c:pt idx="792">
                  <c:v>43893</c:v>
                </c:pt>
                <c:pt idx="793">
                  <c:v>43894</c:v>
                </c:pt>
                <c:pt idx="794">
                  <c:v>43895</c:v>
                </c:pt>
                <c:pt idx="795">
                  <c:v>43896</c:v>
                </c:pt>
                <c:pt idx="796">
                  <c:v>43899</c:v>
                </c:pt>
                <c:pt idx="797">
                  <c:v>43900</c:v>
                </c:pt>
                <c:pt idx="798">
                  <c:v>43901</c:v>
                </c:pt>
                <c:pt idx="799">
                  <c:v>43902</c:v>
                </c:pt>
                <c:pt idx="800">
                  <c:v>43903</c:v>
                </c:pt>
                <c:pt idx="801">
                  <c:v>43906</c:v>
                </c:pt>
                <c:pt idx="802">
                  <c:v>43907</c:v>
                </c:pt>
                <c:pt idx="803">
                  <c:v>43908</c:v>
                </c:pt>
                <c:pt idx="804">
                  <c:v>43909</c:v>
                </c:pt>
                <c:pt idx="805">
                  <c:v>43910</c:v>
                </c:pt>
                <c:pt idx="806">
                  <c:v>43913</c:v>
                </c:pt>
                <c:pt idx="807">
                  <c:v>43914</c:v>
                </c:pt>
                <c:pt idx="808">
                  <c:v>43915</c:v>
                </c:pt>
                <c:pt idx="809">
                  <c:v>43916</c:v>
                </c:pt>
                <c:pt idx="810">
                  <c:v>43917</c:v>
                </c:pt>
                <c:pt idx="811">
                  <c:v>43920</c:v>
                </c:pt>
                <c:pt idx="812">
                  <c:v>43921</c:v>
                </c:pt>
                <c:pt idx="813">
                  <c:v>43922</c:v>
                </c:pt>
                <c:pt idx="814">
                  <c:v>43923</c:v>
                </c:pt>
                <c:pt idx="815">
                  <c:v>43924</c:v>
                </c:pt>
                <c:pt idx="816">
                  <c:v>43927</c:v>
                </c:pt>
                <c:pt idx="817">
                  <c:v>43928</c:v>
                </c:pt>
                <c:pt idx="818">
                  <c:v>43929</c:v>
                </c:pt>
                <c:pt idx="819">
                  <c:v>43935</c:v>
                </c:pt>
                <c:pt idx="820">
                  <c:v>43936</c:v>
                </c:pt>
                <c:pt idx="821">
                  <c:v>43937</c:v>
                </c:pt>
                <c:pt idx="822">
                  <c:v>43938</c:v>
                </c:pt>
                <c:pt idx="823">
                  <c:v>43941</c:v>
                </c:pt>
                <c:pt idx="824">
                  <c:v>43942</c:v>
                </c:pt>
                <c:pt idx="825">
                  <c:v>43943</c:v>
                </c:pt>
                <c:pt idx="826">
                  <c:v>43944</c:v>
                </c:pt>
                <c:pt idx="827">
                  <c:v>43945</c:v>
                </c:pt>
                <c:pt idx="828">
                  <c:v>43948</c:v>
                </c:pt>
                <c:pt idx="829">
                  <c:v>43949</c:v>
                </c:pt>
                <c:pt idx="830">
                  <c:v>43950</c:v>
                </c:pt>
                <c:pt idx="831">
                  <c:v>43951</c:v>
                </c:pt>
                <c:pt idx="832">
                  <c:v>43955</c:v>
                </c:pt>
                <c:pt idx="833">
                  <c:v>43956</c:v>
                </c:pt>
                <c:pt idx="834">
                  <c:v>43957</c:v>
                </c:pt>
                <c:pt idx="835">
                  <c:v>43958</c:v>
                </c:pt>
                <c:pt idx="836">
                  <c:v>43959</c:v>
                </c:pt>
                <c:pt idx="837">
                  <c:v>43962</c:v>
                </c:pt>
                <c:pt idx="838">
                  <c:v>43963</c:v>
                </c:pt>
                <c:pt idx="839">
                  <c:v>43964</c:v>
                </c:pt>
                <c:pt idx="840">
                  <c:v>43965</c:v>
                </c:pt>
                <c:pt idx="841">
                  <c:v>43966</c:v>
                </c:pt>
                <c:pt idx="842">
                  <c:v>43969</c:v>
                </c:pt>
                <c:pt idx="843">
                  <c:v>43970</c:v>
                </c:pt>
                <c:pt idx="844">
                  <c:v>43971</c:v>
                </c:pt>
                <c:pt idx="845">
                  <c:v>43973</c:v>
                </c:pt>
                <c:pt idx="846">
                  <c:v>43976</c:v>
                </c:pt>
                <c:pt idx="847">
                  <c:v>43977</c:v>
                </c:pt>
                <c:pt idx="848">
                  <c:v>43978</c:v>
                </c:pt>
                <c:pt idx="849">
                  <c:v>43979</c:v>
                </c:pt>
                <c:pt idx="850">
                  <c:v>43980</c:v>
                </c:pt>
                <c:pt idx="851">
                  <c:v>43984</c:v>
                </c:pt>
                <c:pt idx="852">
                  <c:v>43985</c:v>
                </c:pt>
                <c:pt idx="853">
                  <c:v>43986</c:v>
                </c:pt>
                <c:pt idx="854">
                  <c:v>43987</c:v>
                </c:pt>
                <c:pt idx="855">
                  <c:v>43990</c:v>
                </c:pt>
                <c:pt idx="856">
                  <c:v>43991</c:v>
                </c:pt>
                <c:pt idx="857">
                  <c:v>43992</c:v>
                </c:pt>
                <c:pt idx="858">
                  <c:v>43993</c:v>
                </c:pt>
                <c:pt idx="859">
                  <c:v>43994</c:v>
                </c:pt>
                <c:pt idx="860">
                  <c:v>43997</c:v>
                </c:pt>
                <c:pt idx="861">
                  <c:v>43998</c:v>
                </c:pt>
                <c:pt idx="862">
                  <c:v>43999</c:v>
                </c:pt>
                <c:pt idx="863">
                  <c:v>44000</c:v>
                </c:pt>
                <c:pt idx="864">
                  <c:v>44001</c:v>
                </c:pt>
                <c:pt idx="865">
                  <c:v>44004</c:v>
                </c:pt>
                <c:pt idx="866">
                  <c:v>44005</c:v>
                </c:pt>
                <c:pt idx="867">
                  <c:v>44006</c:v>
                </c:pt>
                <c:pt idx="868">
                  <c:v>44007</c:v>
                </c:pt>
                <c:pt idx="869">
                  <c:v>44008</c:v>
                </c:pt>
                <c:pt idx="870">
                  <c:v>44011</c:v>
                </c:pt>
                <c:pt idx="871">
                  <c:v>44012</c:v>
                </c:pt>
                <c:pt idx="872">
                  <c:v>44013</c:v>
                </c:pt>
                <c:pt idx="873">
                  <c:v>44014</c:v>
                </c:pt>
                <c:pt idx="874">
                  <c:v>44015</c:v>
                </c:pt>
                <c:pt idx="875">
                  <c:v>44018</c:v>
                </c:pt>
                <c:pt idx="876">
                  <c:v>44019</c:v>
                </c:pt>
                <c:pt idx="877">
                  <c:v>44020</c:v>
                </c:pt>
                <c:pt idx="878">
                  <c:v>44021</c:v>
                </c:pt>
                <c:pt idx="879">
                  <c:v>44022</c:v>
                </c:pt>
                <c:pt idx="880">
                  <c:v>44025</c:v>
                </c:pt>
                <c:pt idx="881">
                  <c:v>44026</c:v>
                </c:pt>
                <c:pt idx="882">
                  <c:v>44027</c:v>
                </c:pt>
                <c:pt idx="883">
                  <c:v>44028</c:v>
                </c:pt>
                <c:pt idx="884">
                  <c:v>44029</c:v>
                </c:pt>
                <c:pt idx="885">
                  <c:v>44032</c:v>
                </c:pt>
                <c:pt idx="886">
                  <c:v>44033</c:v>
                </c:pt>
                <c:pt idx="887">
                  <c:v>44034</c:v>
                </c:pt>
                <c:pt idx="888">
                  <c:v>44035</c:v>
                </c:pt>
                <c:pt idx="889">
                  <c:v>44036</c:v>
                </c:pt>
                <c:pt idx="890">
                  <c:v>44039</c:v>
                </c:pt>
                <c:pt idx="891">
                  <c:v>44040</c:v>
                </c:pt>
                <c:pt idx="892">
                  <c:v>44041</c:v>
                </c:pt>
                <c:pt idx="893">
                  <c:v>44042</c:v>
                </c:pt>
                <c:pt idx="894">
                  <c:v>44043</c:v>
                </c:pt>
                <c:pt idx="895">
                  <c:v>44046</c:v>
                </c:pt>
                <c:pt idx="896">
                  <c:v>44047</c:v>
                </c:pt>
                <c:pt idx="897">
                  <c:v>44048</c:v>
                </c:pt>
                <c:pt idx="898">
                  <c:v>44049</c:v>
                </c:pt>
                <c:pt idx="899">
                  <c:v>44050</c:v>
                </c:pt>
                <c:pt idx="900">
                  <c:v>44053</c:v>
                </c:pt>
                <c:pt idx="901">
                  <c:v>44054</c:v>
                </c:pt>
                <c:pt idx="902">
                  <c:v>44055</c:v>
                </c:pt>
                <c:pt idx="903">
                  <c:v>44056</c:v>
                </c:pt>
                <c:pt idx="904">
                  <c:v>44057</c:v>
                </c:pt>
                <c:pt idx="905">
                  <c:v>44060</c:v>
                </c:pt>
                <c:pt idx="906">
                  <c:v>44061</c:v>
                </c:pt>
                <c:pt idx="907">
                  <c:v>44062</c:v>
                </c:pt>
                <c:pt idx="908">
                  <c:v>44063</c:v>
                </c:pt>
                <c:pt idx="909">
                  <c:v>44064</c:v>
                </c:pt>
                <c:pt idx="910">
                  <c:v>44067</c:v>
                </c:pt>
                <c:pt idx="911">
                  <c:v>44068</c:v>
                </c:pt>
                <c:pt idx="912">
                  <c:v>44069</c:v>
                </c:pt>
                <c:pt idx="913">
                  <c:v>44070</c:v>
                </c:pt>
                <c:pt idx="914">
                  <c:v>44071</c:v>
                </c:pt>
                <c:pt idx="915">
                  <c:v>44074</c:v>
                </c:pt>
                <c:pt idx="916">
                  <c:v>44075</c:v>
                </c:pt>
                <c:pt idx="917">
                  <c:v>44076</c:v>
                </c:pt>
                <c:pt idx="918">
                  <c:v>44077</c:v>
                </c:pt>
                <c:pt idx="919">
                  <c:v>44078</c:v>
                </c:pt>
                <c:pt idx="920">
                  <c:v>44081</c:v>
                </c:pt>
                <c:pt idx="921">
                  <c:v>44082</c:v>
                </c:pt>
                <c:pt idx="922">
                  <c:v>44083</c:v>
                </c:pt>
                <c:pt idx="923">
                  <c:v>44084</c:v>
                </c:pt>
                <c:pt idx="924">
                  <c:v>44085</c:v>
                </c:pt>
                <c:pt idx="925">
                  <c:v>44088</c:v>
                </c:pt>
                <c:pt idx="926">
                  <c:v>44089</c:v>
                </c:pt>
                <c:pt idx="927">
                  <c:v>44090</c:v>
                </c:pt>
                <c:pt idx="928">
                  <c:v>44091</c:v>
                </c:pt>
                <c:pt idx="929">
                  <c:v>44092</c:v>
                </c:pt>
                <c:pt idx="930">
                  <c:v>44095</c:v>
                </c:pt>
                <c:pt idx="931">
                  <c:v>44096</c:v>
                </c:pt>
                <c:pt idx="932">
                  <c:v>44097</c:v>
                </c:pt>
                <c:pt idx="933">
                  <c:v>44098</c:v>
                </c:pt>
                <c:pt idx="934">
                  <c:v>44099</c:v>
                </c:pt>
                <c:pt idx="935">
                  <c:v>44102</c:v>
                </c:pt>
                <c:pt idx="936" formatCode="dd/mm/yy;@">
                  <c:v>44104</c:v>
                </c:pt>
                <c:pt idx="937" formatCode="dd/mm/yy;@">
                  <c:v>44105</c:v>
                </c:pt>
                <c:pt idx="938" formatCode="dd/mm/yy;@">
                  <c:v>44106</c:v>
                </c:pt>
                <c:pt idx="939" formatCode="dd/mm/yy;@">
                  <c:v>44109</c:v>
                </c:pt>
                <c:pt idx="940" formatCode="dd/mm/yy;@">
                  <c:v>44110</c:v>
                </c:pt>
                <c:pt idx="941" formatCode="dd/mm/yy;@">
                  <c:v>44111</c:v>
                </c:pt>
                <c:pt idx="942" formatCode="dd/mm/yy;@">
                  <c:v>44112</c:v>
                </c:pt>
                <c:pt idx="943" formatCode="dd/mm/yy;@">
                  <c:v>44113</c:v>
                </c:pt>
                <c:pt idx="944" formatCode="dd/mm/yy;@">
                  <c:v>44116</c:v>
                </c:pt>
                <c:pt idx="945" formatCode="dd/mm/yy;@">
                  <c:v>44117</c:v>
                </c:pt>
                <c:pt idx="946" formatCode="dd/mm/yy;@">
                  <c:v>44118</c:v>
                </c:pt>
                <c:pt idx="947" formatCode="dd/mm/yy;@">
                  <c:v>44119</c:v>
                </c:pt>
                <c:pt idx="948" formatCode="dd/mm/yy;@">
                  <c:v>44120</c:v>
                </c:pt>
                <c:pt idx="949" formatCode="dd/mm/yy;@">
                  <c:v>44123</c:v>
                </c:pt>
                <c:pt idx="950" formatCode="dd/mm/yy;@">
                  <c:v>44124</c:v>
                </c:pt>
                <c:pt idx="951" formatCode="dd/mm/yy;@">
                  <c:v>44125</c:v>
                </c:pt>
                <c:pt idx="952" formatCode="dd/mm/yy;@">
                  <c:v>44126</c:v>
                </c:pt>
                <c:pt idx="953" formatCode="dd/mm/yy;@">
                  <c:v>44127</c:v>
                </c:pt>
                <c:pt idx="954" formatCode="dd/mm/yy;@">
                  <c:v>44130</c:v>
                </c:pt>
                <c:pt idx="955" formatCode="dd/mm/yy;@">
                  <c:v>44131</c:v>
                </c:pt>
                <c:pt idx="956" formatCode="dd/mm/yy;@">
                  <c:v>44132</c:v>
                </c:pt>
                <c:pt idx="957" formatCode="dd/mm/yy;@">
                  <c:v>44133</c:v>
                </c:pt>
                <c:pt idx="958" formatCode="dd/mm/yy;@">
                  <c:v>44134</c:v>
                </c:pt>
                <c:pt idx="959" formatCode="dd/mm/yy;@">
                  <c:v>44137</c:v>
                </c:pt>
                <c:pt idx="960" formatCode="dd/mm/yy;@">
                  <c:v>44138</c:v>
                </c:pt>
                <c:pt idx="961" formatCode="dd/mm/yy;@">
                  <c:v>44139</c:v>
                </c:pt>
                <c:pt idx="962" formatCode="dd/mm/yy;@">
                  <c:v>44140</c:v>
                </c:pt>
                <c:pt idx="963" formatCode="dd/mm/yy;@">
                  <c:v>44141</c:v>
                </c:pt>
                <c:pt idx="964" formatCode="dd/mm/yy;@">
                  <c:v>44144</c:v>
                </c:pt>
                <c:pt idx="965" formatCode="dd/mm/yy;@">
                  <c:v>44145</c:v>
                </c:pt>
                <c:pt idx="966" formatCode="dd/mm/yy;@">
                  <c:v>44146</c:v>
                </c:pt>
                <c:pt idx="967" formatCode="dd/mm/yy;@">
                  <c:v>44147</c:v>
                </c:pt>
                <c:pt idx="968" formatCode="dd/mm/yy;@">
                  <c:v>44148</c:v>
                </c:pt>
                <c:pt idx="969" formatCode="dd/mm/yy;@">
                  <c:v>44151</c:v>
                </c:pt>
                <c:pt idx="970" formatCode="dd/mm/yy;@">
                  <c:v>44152</c:v>
                </c:pt>
                <c:pt idx="971" formatCode="dd/mm/yy;@">
                  <c:v>44153</c:v>
                </c:pt>
                <c:pt idx="972" formatCode="dd/mm/yy;@">
                  <c:v>44154</c:v>
                </c:pt>
                <c:pt idx="973" formatCode="dd/mm/yy;@">
                  <c:v>44155</c:v>
                </c:pt>
                <c:pt idx="974" formatCode="dd/mm/yy;@">
                  <c:v>44158</c:v>
                </c:pt>
                <c:pt idx="975" formatCode="dd/mm/yy;@">
                  <c:v>44159</c:v>
                </c:pt>
                <c:pt idx="976" formatCode="dd/mm/yy;@">
                  <c:v>44160</c:v>
                </c:pt>
                <c:pt idx="977" formatCode="dd/mm/yy;@">
                  <c:v>44161</c:v>
                </c:pt>
                <c:pt idx="978" formatCode="dd/mm/yy;@">
                  <c:v>44162</c:v>
                </c:pt>
                <c:pt idx="979" formatCode="dd/mm/yy;@">
                  <c:v>44165</c:v>
                </c:pt>
                <c:pt idx="980" formatCode="dd/mm/yy;@">
                  <c:v>44166</c:v>
                </c:pt>
                <c:pt idx="981" formatCode="dd/mm/yy;@">
                  <c:v>44167</c:v>
                </c:pt>
                <c:pt idx="982" formatCode="dd/mm/yy;@">
                  <c:v>44168</c:v>
                </c:pt>
                <c:pt idx="983" formatCode="dd/mm/yy;@">
                  <c:v>44169</c:v>
                </c:pt>
                <c:pt idx="984" formatCode="dd/mm/yy;@">
                  <c:v>44172</c:v>
                </c:pt>
                <c:pt idx="985" formatCode="dd/mm/yy;@">
                  <c:v>44173</c:v>
                </c:pt>
                <c:pt idx="986" formatCode="dd/mm/yy;@">
                  <c:v>44174</c:v>
                </c:pt>
                <c:pt idx="987" formatCode="dd/mm/yy;@">
                  <c:v>44175</c:v>
                </c:pt>
                <c:pt idx="988" formatCode="dd/mm/yy;@">
                  <c:v>44176</c:v>
                </c:pt>
                <c:pt idx="989" formatCode="dd/mm/yy;@">
                  <c:v>44179</c:v>
                </c:pt>
                <c:pt idx="990" formatCode="dd/mm/yy;@">
                  <c:v>44180</c:v>
                </c:pt>
                <c:pt idx="991" formatCode="dd/mm/yy;@">
                  <c:v>44181</c:v>
                </c:pt>
                <c:pt idx="992" formatCode="dd/mm/yy;@">
                  <c:v>44182</c:v>
                </c:pt>
                <c:pt idx="993" formatCode="dd/mm/yy;@">
                  <c:v>44183</c:v>
                </c:pt>
                <c:pt idx="994" formatCode="dd/mm/yy;@">
                  <c:v>44186</c:v>
                </c:pt>
                <c:pt idx="995" formatCode="dd/mm/yy;@">
                  <c:v>44187</c:v>
                </c:pt>
                <c:pt idx="996" formatCode="dd/mm/yy;@">
                  <c:v>44188</c:v>
                </c:pt>
                <c:pt idx="997" formatCode="dd/mm/yy;@">
                  <c:v>44193</c:v>
                </c:pt>
                <c:pt idx="998" formatCode="dd/mm/yy;@">
                  <c:v>44194</c:v>
                </c:pt>
                <c:pt idx="999" formatCode="dd/mm/yy;@">
                  <c:v>44195</c:v>
                </c:pt>
                <c:pt idx="1000" formatCode="dd/mm/yy;@">
                  <c:v>44200</c:v>
                </c:pt>
                <c:pt idx="1001" formatCode="dd/mm/yy;@">
                  <c:v>44201</c:v>
                </c:pt>
                <c:pt idx="1002" formatCode="dd/mm/yy;@">
                  <c:v>44202</c:v>
                </c:pt>
                <c:pt idx="1003" formatCode="dd/mm/yy;@">
                  <c:v>44203</c:v>
                </c:pt>
                <c:pt idx="1004" formatCode="dd/mm/yy;@">
                  <c:v>44204</c:v>
                </c:pt>
                <c:pt idx="1005" formatCode="dd/mm/yy;@">
                  <c:v>44207</c:v>
                </c:pt>
                <c:pt idx="1006" formatCode="dd/mm/yy;@">
                  <c:v>44208</c:v>
                </c:pt>
                <c:pt idx="1007" formatCode="dd/mm/yy;@">
                  <c:v>44209</c:v>
                </c:pt>
                <c:pt idx="1008" formatCode="dd/mm/yy;@">
                  <c:v>44210</c:v>
                </c:pt>
                <c:pt idx="1009" formatCode="dd/mm/yy;@">
                  <c:v>44211</c:v>
                </c:pt>
                <c:pt idx="1010" formatCode="dd/mm/yy;@">
                  <c:v>44214</c:v>
                </c:pt>
                <c:pt idx="1011" formatCode="dd/mm/yy;@">
                  <c:v>44215</c:v>
                </c:pt>
                <c:pt idx="1012" formatCode="dd/mm/yy;@">
                  <c:v>44216</c:v>
                </c:pt>
                <c:pt idx="1013" formatCode="dd/mm/yy;@">
                  <c:v>44217</c:v>
                </c:pt>
                <c:pt idx="1014" formatCode="dd/mm/yy;@">
                  <c:v>44218</c:v>
                </c:pt>
                <c:pt idx="1015" formatCode="yyyy\-mm\-dd">
                  <c:v>44221</c:v>
                </c:pt>
                <c:pt idx="1016" formatCode="yyyy\-mm\-dd">
                  <c:v>44222</c:v>
                </c:pt>
                <c:pt idx="1017" formatCode="yyyy\-mm\-dd">
                  <c:v>44223</c:v>
                </c:pt>
                <c:pt idx="1018" formatCode="yyyy\-mm\-dd">
                  <c:v>44224</c:v>
                </c:pt>
                <c:pt idx="1019" formatCode="yyyy\-mm\-dd">
                  <c:v>44225</c:v>
                </c:pt>
                <c:pt idx="1020" formatCode="yyyy\-mm\-dd">
                  <c:v>44228</c:v>
                </c:pt>
                <c:pt idx="1021" formatCode="yyyy\-mm\-dd">
                  <c:v>44229</c:v>
                </c:pt>
                <c:pt idx="1022" formatCode="yyyy\-mm\-dd">
                  <c:v>44230</c:v>
                </c:pt>
                <c:pt idx="1023" formatCode="yyyy\-mm\-dd">
                  <c:v>44231</c:v>
                </c:pt>
                <c:pt idx="1024" formatCode="yyyy\-mm\-dd">
                  <c:v>44232</c:v>
                </c:pt>
                <c:pt idx="1025" formatCode="yyyy\-mm\-dd">
                  <c:v>44235</c:v>
                </c:pt>
                <c:pt idx="1026" formatCode="yyyy\-mm\-dd">
                  <c:v>44236</c:v>
                </c:pt>
                <c:pt idx="1027" formatCode="yyyy\-mm\-dd">
                  <c:v>44237</c:v>
                </c:pt>
                <c:pt idx="1028" formatCode="yyyy\-mm\-dd">
                  <c:v>44238</c:v>
                </c:pt>
                <c:pt idx="1029" formatCode="yyyy\-mm\-dd">
                  <c:v>44239</c:v>
                </c:pt>
                <c:pt idx="1030" formatCode="yyyy\-mm\-dd">
                  <c:v>44242</c:v>
                </c:pt>
                <c:pt idx="1031" formatCode="yyyy\-mm\-dd">
                  <c:v>44243</c:v>
                </c:pt>
                <c:pt idx="1032" formatCode="yyyy\-mm\-dd">
                  <c:v>44244</c:v>
                </c:pt>
                <c:pt idx="1033" formatCode="yyyy\-mm\-dd">
                  <c:v>44245</c:v>
                </c:pt>
                <c:pt idx="1034" formatCode="yyyy\-mm\-dd">
                  <c:v>44246</c:v>
                </c:pt>
                <c:pt idx="1035" formatCode="yyyy\-mm\-dd">
                  <c:v>44249</c:v>
                </c:pt>
                <c:pt idx="1036" formatCode="yyyy\-mm\-dd">
                  <c:v>44250</c:v>
                </c:pt>
                <c:pt idx="1037" formatCode="yyyy\-mm\-dd">
                  <c:v>44251</c:v>
                </c:pt>
                <c:pt idx="1038" formatCode="yyyy\-mm\-dd">
                  <c:v>44252</c:v>
                </c:pt>
                <c:pt idx="1039" formatCode="yyyy\-mm\-dd">
                  <c:v>44253</c:v>
                </c:pt>
                <c:pt idx="1040" formatCode="yyyy\-mm\-dd">
                  <c:v>44256</c:v>
                </c:pt>
                <c:pt idx="1041" formatCode="yyyy\-mm\-dd">
                  <c:v>44257</c:v>
                </c:pt>
                <c:pt idx="1042" formatCode="yyyy\-mm\-dd">
                  <c:v>44258</c:v>
                </c:pt>
                <c:pt idx="1043" formatCode="yyyy\-mm\-dd">
                  <c:v>44259</c:v>
                </c:pt>
                <c:pt idx="1044" formatCode="yyyy\-mm\-dd">
                  <c:v>44260</c:v>
                </c:pt>
                <c:pt idx="1045" formatCode="yyyy\-mm\-dd">
                  <c:v>44263</c:v>
                </c:pt>
                <c:pt idx="1046" formatCode="yyyy\-mm\-dd">
                  <c:v>44264</c:v>
                </c:pt>
                <c:pt idx="1047" formatCode="yyyy\-mm\-dd">
                  <c:v>44265</c:v>
                </c:pt>
                <c:pt idx="1048" formatCode="yyyy\-mm\-dd">
                  <c:v>44266</c:v>
                </c:pt>
                <c:pt idx="1049" formatCode="yyyy\-mm\-dd">
                  <c:v>44267</c:v>
                </c:pt>
                <c:pt idx="1050" formatCode="yyyy\-mm\-dd">
                  <c:v>44270</c:v>
                </c:pt>
                <c:pt idx="1051" formatCode="yyyy\-mm\-dd">
                  <c:v>44271</c:v>
                </c:pt>
                <c:pt idx="1052" formatCode="yyyy\-mm\-dd">
                  <c:v>44272</c:v>
                </c:pt>
                <c:pt idx="1053" formatCode="yyyy\-mm\-dd">
                  <c:v>44273</c:v>
                </c:pt>
                <c:pt idx="1054" formatCode="yyyy\-mm\-dd">
                  <c:v>44274</c:v>
                </c:pt>
                <c:pt idx="1055" formatCode="yyyy\-mm\-dd">
                  <c:v>44277</c:v>
                </c:pt>
              </c:numCache>
            </c:numRef>
          </c:cat>
          <c:val>
            <c:numRef>
              <c:f>Kurstrend!$B$5:$B$1060</c:f>
              <c:numCache>
                <c:formatCode>#\ ##0.00###</c:formatCode>
                <c:ptCount val="1056"/>
                <c:pt idx="0">
                  <c:v>8.7899999999999991</c:v>
                </c:pt>
                <c:pt idx="1">
                  <c:v>9.1</c:v>
                </c:pt>
                <c:pt idx="2">
                  <c:v>8.98</c:v>
                </c:pt>
                <c:pt idx="3">
                  <c:v>9.0050000000000008</c:v>
                </c:pt>
                <c:pt idx="4">
                  <c:v>8.8550000000000004</c:v>
                </c:pt>
                <c:pt idx="5">
                  <c:v>9.125</c:v>
                </c:pt>
                <c:pt idx="6">
                  <c:v>9.3450000000000006</c:v>
                </c:pt>
                <c:pt idx="7">
                  <c:v>9.2899999999999991</c:v>
                </c:pt>
                <c:pt idx="8">
                  <c:v>9.4350000000000005</c:v>
                </c:pt>
                <c:pt idx="9">
                  <c:v>9.44</c:v>
                </c:pt>
                <c:pt idx="10">
                  <c:v>9.18</c:v>
                </c:pt>
                <c:pt idx="11">
                  <c:v>9.2050000000000001</c:v>
                </c:pt>
                <c:pt idx="12">
                  <c:v>9.1549999999999994</c:v>
                </c:pt>
                <c:pt idx="13">
                  <c:v>8.9700000000000006</c:v>
                </c:pt>
                <c:pt idx="14">
                  <c:v>9.19</c:v>
                </c:pt>
                <c:pt idx="15">
                  <c:v>9.2200000000000006</c:v>
                </c:pt>
                <c:pt idx="16">
                  <c:v>9.0749999999999993</c:v>
                </c:pt>
                <c:pt idx="17">
                  <c:v>9.0250000000000004</c:v>
                </c:pt>
                <c:pt idx="18">
                  <c:v>9.01</c:v>
                </c:pt>
                <c:pt idx="19">
                  <c:v>9.02</c:v>
                </c:pt>
                <c:pt idx="20">
                  <c:v>8.5500000000000007</c:v>
                </c:pt>
                <c:pt idx="21">
                  <c:v>8.61</c:v>
                </c:pt>
                <c:pt idx="22">
                  <c:v>8.7850000000000001</c:v>
                </c:pt>
                <c:pt idx="23">
                  <c:v>8.5549999999999997</c:v>
                </c:pt>
                <c:pt idx="24">
                  <c:v>8.73</c:v>
                </c:pt>
                <c:pt idx="25">
                  <c:v>8.6449999999999996</c:v>
                </c:pt>
                <c:pt idx="26">
                  <c:v>8.625</c:v>
                </c:pt>
                <c:pt idx="27">
                  <c:v>8.4</c:v>
                </c:pt>
                <c:pt idx="28">
                  <c:v>8.1449999999999996</c:v>
                </c:pt>
                <c:pt idx="29">
                  <c:v>8.33</c:v>
                </c:pt>
                <c:pt idx="30">
                  <c:v>8.24</c:v>
                </c:pt>
                <c:pt idx="31">
                  <c:v>8.2200000000000006</c:v>
                </c:pt>
                <c:pt idx="32">
                  <c:v>8.0250000000000004</c:v>
                </c:pt>
                <c:pt idx="33">
                  <c:v>7.9249999999999998</c:v>
                </c:pt>
                <c:pt idx="34">
                  <c:v>7.65</c:v>
                </c:pt>
                <c:pt idx="35">
                  <c:v>7.54</c:v>
                </c:pt>
                <c:pt idx="36">
                  <c:v>7.9950000000000001</c:v>
                </c:pt>
                <c:pt idx="37">
                  <c:v>7.8</c:v>
                </c:pt>
                <c:pt idx="38">
                  <c:v>7.92</c:v>
                </c:pt>
                <c:pt idx="39">
                  <c:v>7.72</c:v>
                </c:pt>
                <c:pt idx="40">
                  <c:v>7.7649999999999997</c:v>
                </c:pt>
                <c:pt idx="41">
                  <c:v>8.0150000000000006</c:v>
                </c:pt>
                <c:pt idx="42">
                  <c:v>8.16</c:v>
                </c:pt>
                <c:pt idx="43">
                  <c:v>7.64</c:v>
                </c:pt>
                <c:pt idx="44">
                  <c:v>7.67</c:v>
                </c:pt>
                <c:pt idx="45">
                  <c:v>7.49</c:v>
                </c:pt>
                <c:pt idx="46">
                  <c:v>7.92</c:v>
                </c:pt>
                <c:pt idx="47">
                  <c:v>7.7</c:v>
                </c:pt>
                <c:pt idx="48">
                  <c:v>7.41</c:v>
                </c:pt>
                <c:pt idx="49">
                  <c:v>7.65</c:v>
                </c:pt>
                <c:pt idx="50">
                  <c:v>7.49</c:v>
                </c:pt>
                <c:pt idx="51">
                  <c:v>7.22</c:v>
                </c:pt>
                <c:pt idx="52">
                  <c:v>7.43</c:v>
                </c:pt>
                <c:pt idx="53">
                  <c:v>7.27</c:v>
                </c:pt>
                <c:pt idx="54">
                  <c:v>7.165</c:v>
                </c:pt>
                <c:pt idx="55">
                  <c:v>7.15</c:v>
                </c:pt>
                <c:pt idx="56">
                  <c:v>7.1849999999999996</c:v>
                </c:pt>
                <c:pt idx="57">
                  <c:v>6.875</c:v>
                </c:pt>
                <c:pt idx="58">
                  <c:v>6.7750000000000004</c:v>
                </c:pt>
                <c:pt idx="59">
                  <c:v>6.9850000000000003</c:v>
                </c:pt>
                <c:pt idx="60">
                  <c:v>6.87</c:v>
                </c:pt>
                <c:pt idx="61">
                  <c:v>6.93</c:v>
                </c:pt>
                <c:pt idx="62">
                  <c:v>7.0650000000000004</c:v>
                </c:pt>
                <c:pt idx="63">
                  <c:v>7.32</c:v>
                </c:pt>
                <c:pt idx="64">
                  <c:v>7.23</c:v>
                </c:pt>
                <c:pt idx="65">
                  <c:v>7.27</c:v>
                </c:pt>
                <c:pt idx="66">
                  <c:v>7.25</c:v>
                </c:pt>
                <c:pt idx="67">
                  <c:v>7.44</c:v>
                </c:pt>
                <c:pt idx="68">
                  <c:v>7.2649999999999997</c:v>
                </c:pt>
                <c:pt idx="69">
                  <c:v>7.3150000000000004</c:v>
                </c:pt>
                <c:pt idx="70">
                  <c:v>7.375</c:v>
                </c:pt>
                <c:pt idx="71">
                  <c:v>7.34</c:v>
                </c:pt>
                <c:pt idx="72">
                  <c:v>7.6150000000000002</c:v>
                </c:pt>
                <c:pt idx="73">
                  <c:v>7.23</c:v>
                </c:pt>
                <c:pt idx="74">
                  <c:v>7.25</c:v>
                </c:pt>
                <c:pt idx="75">
                  <c:v>7.23</c:v>
                </c:pt>
                <c:pt idx="76">
                  <c:v>7.13</c:v>
                </c:pt>
                <c:pt idx="77">
                  <c:v>7.2249999999999996</c:v>
                </c:pt>
                <c:pt idx="78">
                  <c:v>7.2949999999999999</c:v>
                </c:pt>
                <c:pt idx="79">
                  <c:v>7.29</c:v>
                </c:pt>
                <c:pt idx="80">
                  <c:v>7.12</c:v>
                </c:pt>
                <c:pt idx="81">
                  <c:v>7.26</c:v>
                </c:pt>
                <c:pt idx="82">
                  <c:v>7.45</c:v>
                </c:pt>
                <c:pt idx="83">
                  <c:v>7.46</c:v>
                </c:pt>
                <c:pt idx="84">
                  <c:v>7.3550000000000004</c:v>
                </c:pt>
                <c:pt idx="85">
                  <c:v>7.585</c:v>
                </c:pt>
                <c:pt idx="86">
                  <c:v>7.74</c:v>
                </c:pt>
                <c:pt idx="87">
                  <c:v>7.7</c:v>
                </c:pt>
                <c:pt idx="88">
                  <c:v>7.88</c:v>
                </c:pt>
                <c:pt idx="89">
                  <c:v>7.75</c:v>
                </c:pt>
                <c:pt idx="90">
                  <c:v>7.75</c:v>
                </c:pt>
                <c:pt idx="91">
                  <c:v>7.78</c:v>
                </c:pt>
                <c:pt idx="92">
                  <c:v>8.1850000000000005</c:v>
                </c:pt>
                <c:pt idx="93">
                  <c:v>8.08</c:v>
                </c:pt>
                <c:pt idx="94">
                  <c:v>8.1999999999999993</c:v>
                </c:pt>
                <c:pt idx="95">
                  <c:v>8.25</c:v>
                </c:pt>
                <c:pt idx="96">
                  <c:v>8.2249999999999996</c:v>
                </c:pt>
                <c:pt idx="97">
                  <c:v>8.3249999999999993</c:v>
                </c:pt>
                <c:pt idx="98">
                  <c:v>7.89</c:v>
                </c:pt>
                <c:pt idx="99">
                  <c:v>7.85</c:v>
                </c:pt>
                <c:pt idx="100">
                  <c:v>7.89</c:v>
                </c:pt>
                <c:pt idx="101">
                  <c:v>7.79</c:v>
                </c:pt>
                <c:pt idx="102">
                  <c:v>7.95</c:v>
                </c:pt>
                <c:pt idx="103">
                  <c:v>7.99</c:v>
                </c:pt>
                <c:pt idx="104">
                  <c:v>8.02</c:v>
                </c:pt>
                <c:pt idx="105">
                  <c:v>8.01</c:v>
                </c:pt>
                <c:pt idx="106">
                  <c:v>7.6150000000000002</c:v>
                </c:pt>
                <c:pt idx="107">
                  <c:v>7.62</c:v>
                </c:pt>
                <c:pt idx="108">
                  <c:v>7.73</c:v>
                </c:pt>
                <c:pt idx="109">
                  <c:v>7.7649999999999997</c:v>
                </c:pt>
                <c:pt idx="110">
                  <c:v>7.7149999999999999</c:v>
                </c:pt>
                <c:pt idx="111">
                  <c:v>7.51</c:v>
                </c:pt>
                <c:pt idx="112">
                  <c:v>7.6</c:v>
                </c:pt>
                <c:pt idx="113">
                  <c:v>7.5350000000000001</c:v>
                </c:pt>
                <c:pt idx="114">
                  <c:v>7.35</c:v>
                </c:pt>
                <c:pt idx="115">
                  <c:v>7.4950000000000001</c:v>
                </c:pt>
                <c:pt idx="116">
                  <c:v>7.3650000000000002</c:v>
                </c:pt>
                <c:pt idx="117">
                  <c:v>7.51</c:v>
                </c:pt>
                <c:pt idx="118">
                  <c:v>7.2949999999999999</c:v>
                </c:pt>
                <c:pt idx="119">
                  <c:v>7.6349999999999998</c:v>
                </c:pt>
                <c:pt idx="120">
                  <c:v>7.6150000000000002</c:v>
                </c:pt>
                <c:pt idx="121">
                  <c:v>7.75</c:v>
                </c:pt>
                <c:pt idx="122">
                  <c:v>7.64</c:v>
                </c:pt>
                <c:pt idx="123">
                  <c:v>8.0250000000000004</c:v>
                </c:pt>
                <c:pt idx="124">
                  <c:v>8.0500000000000007</c:v>
                </c:pt>
                <c:pt idx="125">
                  <c:v>7.9</c:v>
                </c:pt>
                <c:pt idx="126">
                  <c:v>7.85</c:v>
                </c:pt>
                <c:pt idx="127">
                  <c:v>7.6</c:v>
                </c:pt>
                <c:pt idx="128">
                  <c:v>7.95</c:v>
                </c:pt>
                <c:pt idx="129">
                  <c:v>7.9450000000000003</c:v>
                </c:pt>
                <c:pt idx="130">
                  <c:v>8.2750000000000004</c:v>
                </c:pt>
                <c:pt idx="131">
                  <c:v>8.08</c:v>
                </c:pt>
                <c:pt idx="132">
                  <c:v>8.2550000000000008</c:v>
                </c:pt>
                <c:pt idx="133">
                  <c:v>8.25</c:v>
                </c:pt>
                <c:pt idx="134">
                  <c:v>8.2949999999999999</c:v>
                </c:pt>
                <c:pt idx="135">
                  <c:v>8.3049999999999997</c:v>
                </c:pt>
                <c:pt idx="136">
                  <c:v>8.48</c:v>
                </c:pt>
                <c:pt idx="137">
                  <c:v>8.32</c:v>
                </c:pt>
                <c:pt idx="138">
                  <c:v>8.6150000000000002</c:v>
                </c:pt>
                <c:pt idx="139">
                  <c:v>8.7249999999999996</c:v>
                </c:pt>
                <c:pt idx="140">
                  <c:v>8.89</c:v>
                </c:pt>
                <c:pt idx="141">
                  <c:v>8.99</c:v>
                </c:pt>
                <c:pt idx="142">
                  <c:v>9.0749999999999993</c:v>
                </c:pt>
                <c:pt idx="143">
                  <c:v>9.16</c:v>
                </c:pt>
                <c:pt idx="144">
                  <c:v>8.9749999999999996</c:v>
                </c:pt>
                <c:pt idx="145">
                  <c:v>9.1150000000000002</c:v>
                </c:pt>
                <c:pt idx="146">
                  <c:v>9.0500000000000007</c:v>
                </c:pt>
                <c:pt idx="147">
                  <c:v>8.9649999999999999</c:v>
                </c:pt>
                <c:pt idx="148">
                  <c:v>9.09</c:v>
                </c:pt>
                <c:pt idx="149">
                  <c:v>9.0749999999999993</c:v>
                </c:pt>
                <c:pt idx="150">
                  <c:v>9.1150000000000002</c:v>
                </c:pt>
                <c:pt idx="151">
                  <c:v>9.2200000000000006</c:v>
                </c:pt>
                <c:pt idx="152">
                  <c:v>9.0050000000000008</c:v>
                </c:pt>
                <c:pt idx="153">
                  <c:v>9.09</c:v>
                </c:pt>
                <c:pt idx="154">
                  <c:v>8.9049999999999994</c:v>
                </c:pt>
                <c:pt idx="155">
                  <c:v>8.98</c:v>
                </c:pt>
                <c:pt idx="156">
                  <c:v>8.86</c:v>
                </c:pt>
                <c:pt idx="157">
                  <c:v>8.6549999999999994</c:v>
                </c:pt>
                <c:pt idx="158">
                  <c:v>8.77</c:v>
                </c:pt>
                <c:pt idx="159">
                  <c:v>9</c:v>
                </c:pt>
                <c:pt idx="160">
                  <c:v>8.9700000000000006</c:v>
                </c:pt>
                <c:pt idx="161">
                  <c:v>10.050000000000001</c:v>
                </c:pt>
                <c:pt idx="162">
                  <c:v>11.44</c:v>
                </c:pt>
                <c:pt idx="163">
                  <c:v>11.38</c:v>
                </c:pt>
                <c:pt idx="164">
                  <c:v>11.68</c:v>
                </c:pt>
                <c:pt idx="165">
                  <c:v>11.82</c:v>
                </c:pt>
                <c:pt idx="166">
                  <c:v>12.17</c:v>
                </c:pt>
                <c:pt idx="167">
                  <c:v>12.1</c:v>
                </c:pt>
                <c:pt idx="168">
                  <c:v>12.2</c:v>
                </c:pt>
                <c:pt idx="169">
                  <c:v>12.2</c:v>
                </c:pt>
                <c:pt idx="170">
                  <c:v>12.19</c:v>
                </c:pt>
                <c:pt idx="171">
                  <c:v>12.1</c:v>
                </c:pt>
                <c:pt idx="172">
                  <c:v>12.25</c:v>
                </c:pt>
                <c:pt idx="173">
                  <c:v>12.02</c:v>
                </c:pt>
                <c:pt idx="174">
                  <c:v>12.29</c:v>
                </c:pt>
                <c:pt idx="175">
                  <c:v>12.38</c:v>
                </c:pt>
                <c:pt idx="176">
                  <c:v>12</c:v>
                </c:pt>
                <c:pt idx="177">
                  <c:v>11.9</c:v>
                </c:pt>
                <c:pt idx="178">
                  <c:v>11.28</c:v>
                </c:pt>
                <c:pt idx="179">
                  <c:v>11.58</c:v>
                </c:pt>
                <c:pt idx="180">
                  <c:v>11.44</c:v>
                </c:pt>
                <c:pt idx="181">
                  <c:v>11.56</c:v>
                </c:pt>
                <c:pt idx="182">
                  <c:v>11.32</c:v>
                </c:pt>
                <c:pt idx="183">
                  <c:v>11.17</c:v>
                </c:pt>
                <c:pt idx="184">
                  <c:v>11.55</c:v>
                </c:pt>
                <c:pt idx="185">
                  <c:v>11.55</c:v>
                </c:pt>
                <c:pt idx="186">
                  <c:v>11.3</c:v>
                </c:pt>
                <c:pt idx="187">
                  <c:v>10.92</c:v>
                </c:pt>
                <c:pt idx="188">
                  <c:v>9.9499999999999993</c:v>
                </c:pt>
                <c:pt idx="189">
                  <c:v>10.53</c:v>
                </c:pt>
                <c:pt idx="190">
                  <c:v>10.73</c:v>
                </c:pt>
                <c:pt idx="191">
                  <c:v>10.29</c:v>
                </c:pt>
                <c:pt idx="192">
                  <c:v>10.32</c:v>
                </c:pt>
                <c:pt idx="193">
                  <c:v>10.71</c:v>
                </c:pt>
                <c:pt idx="194">
                  <c:v>10.210000000000001</c:v>
                </c:pt>
                <c:pt idx="195">
                  <c:v>10.31</c:v>
                </c:pt>
                <c:pt idx="196">
                  <c:v>10.14</c:v>
                </c:pt>
                <c:pt idx="197">
                  <c:v>10.38</c:v>
                </c:pt>
                <c:pt idx="198">
                  <c:v>9.82</c:v>
                </c:pt>
                <c:pt idx="199">
                  <c:v>10.25</c:v>
                </c:pt>
                <c:pt idx="200">
                  <c:v>10.6</c:v>
                </c:pt>
                <c:pt idx="201">
                  <c:v>10.28</c:v>
                </c:pt>
                <c:pt idx="202">
                  <c:v>10.35</c:v>
                </c:pt>
                <c:pt idx="203">
                  <c:v>10.02</c:v>
                </c:pt>
                <c:pt idx="204">
                  <c:v>9.7899999999999991</c:v>
                </c:pt>
                <c:pt idx="205">
                  <c:v>10.07</c:v>
                </c:pt>
                <c:pt idx="206">
                  <c:v>9.91</c:v>
                </c:pt>
                <c:pt idx="207">
                  <c:v>10.3</c:v>
                </c:pt>
                <c:pt idx="208">
                  <c:v>9.73</c:v>
                </c:pt>
                <c:pt idx="209">
                  <c:v>9.9</c:v>
                </c:pt>
                <c:pt idx="210">
                  <c:v>10.01</c:v>
                </c:pt>
                <c:pt idx="211">
                  <c:v>9.9700000000000006</c:v>
                </c:pt>
                <c:pt idx="212">
                  <c:v>9.9</c:v>
                </c:pt>
                <c:pt idx="213">
                  <c:v>10</c:v>
                </c:pt>
                <c:pt idx="214">
                  <c:v>10.59</c:v>
                </c:pt>
                <c:pt idx="215">
                  <c:v>10.48</c:v>
                </c:pt>
                <c:pt idx="216">
                  <c:v>10.67</c:v>
                </c:pt>
                <c:pt idx="217">
                  <c:v>10.54</c:v>
                </c:pt>
                <c:pt idx="218">
                  <c:v>10.08</c:v>
                </c:pt>
                <c:pt idx="219">
                  <c:v>10.18</c:v>
                </c:pt>
                <c:pt idx="220">
                  <c:v>9.7100000000000009</c:v>
                </c:pt>
                <c:pt idx="221">
                  <c:v>9.9149999999999991</c:v>
                </c:pt>
                <c:pt idx="222">
                  <c:v>10.01</c:v>
                </c:pt>
                <c:pt idx="223">
                  <c:v>9.8350000000000009</c:v>
                </c:pt>
                <c:pt idx="224">
                  <c:v>10.31</c:v>
                </c:pt>
                <c:pt idx="225">
                  <c:v>10.08</c:v>
                </c:pt>
                <c:pt idx="226">
                  <c:v>10.09</c:v>
                </c:pt>
                <c:pt idx="227">
                  <c:v>10.039999999999999</c:v>
                </c:pt>
                <c:pt idx="228">
                  <c:v>9.8949999999999996</c:v>
                </c:pt>
                <c:pt idx="229">
                  <c:v>9.9649999999999999</c:v>
                </c:pt>
                <c:pt idx="230">
                  <c:v>9.7650000000000006</c:v>
                </c:pt>
                <c:pt idx="231">
                  <c:v>9.77</c:v>
                </c:pt>
                <c:pt idx="232">
                  <c:v>10.24</c:v>
                </c:pt>
                <c:pt idx="233">
                  <c:v>9.8149999999999995</c:v>
                </c:pt>
                <c:pt idx="234">
                  <c:v>9.3000000000000007</c:v>
                </c:pt>
                <c:pt idx="235">
                  <c:v>8.9499999999999993</c:v>
                </c:pt>
                <c:pt idx="236">
                  <c:v>8.9649999999999999</c:v>
                </c:pt>
                <c:pt idx="237">
                  <c:v>8.74</c:v>
                </c:pt>
                <c:pt idx="238">
                  <c:v>9.73</c:v>
                </c:pt>
                <c:pt idx="239">
                  <c:v>9.4049999999999994</c:v>
                </c:pt>
                <c:pt idx="240">
                  <c:v>9.1199999999999992</c:v>
                </c:pt>
                <c:pt idx="241">
                  <c:v>9.15</c:v>
                </c:pt>
                <c:pt idx="242">
                  <c:v>9.0299999999999994</c:v>
                </c:pt>
                <c:pt idx="243">
                  <c:v>9.0399999999999991</c:v>
                </c:pt>
                <c:pt idx="244">
                  <c:v>9.1850000000000005</c:v>
                </c:pt>
                <c:pt idx="245">
                  <c:v>9.17</c:v>
                </c:pt>
                <c:pt idx="246">
                  <c:v>9.51</c:v>
                </c:pt>
                <c:pt idx="247">
                  <c:v>9.2449999999999992</c:v>
                </c:pt>
                <c:pt idx="248">
                  <c:v>9.5549999999999997</c:v>
                </c:pt>
                <c:pt idx="249">
                  <c:v>9.5350000000000001</c:v>
                </c:pt>
                <c:pt idx="250">
                  <c:v>9.5</c:v>
                </c:pt>
                <c:pt idx="251">
                  <c:v>9.5180000000000007</c:v>
                </c:pt>
                <c:pt idx="252">
                  <c:v>10.015000000000001</c:v>
                </c:pt>
                <c:pt idx="253">
                  <c:v>9.9</c:v>
                </c:pt>
                <c:pt idx="254">
                  <c:v>9.84</c:v>
                </c:pt>
                <c:pt idx="255">
                  <c:v>10.15</c:v>
                </c:pt>
                <c:pt idx="256">
                  <c:v>10.5</c:v>
                </c:pt>
                <c:pt idx="257">
                  <c:v>10.5</c:v>
                </c:pt>
                <c:pt idx="258">
                  <c:v>10.75</c:v>
                </c:pt>
                <c:pt idx="259">
                  <c:v>10.78</c:v>
                </c:pt>
                <c:pt idx="260">
                  <c:v>10.95</c:v>
                </c:pt>
                <c:pt idx="261">
                  <c:v>10.75</c:v>
                </c:pt>
                <c:pt idx="262">
                  <c:v>10.625</c:v>
                </c:pt>
                <c:pt idx="263">
                  <c:v>10.505000000000001</c:v>
                </c:pt>
                <c:pt idx="264">
                  <c:v>10.52</c:v>
                </c:pt>
                <c:pt idx="265">
                  <c:v>10.49</c:v>
                </c:pt>
                <c:pt idx="266">
                  <c:v>10.47</c:v>
                </c:pt>
                <c:pt idx="267">
                  <c:v>10.49</c:v>
                </c:pt>
                <c:pt idx="268">
                  <c:v>10.65</c:v>
                </c:pt>
                <c:pt idx="269">
                  <c:v>10.33</c:v>
                </c:pt>
                <c:pt idx="270">
                  <c:v>10.45</c:v>
                </c:pt>
                <c:pt idx="271">
                  <c:v>9.86</c:v>
                </c:pt>
                <c:pt idx="272">
                  <c:v>9.86</c:v>
                </c:pt>
                <c:pt idx="273">
                  <c:v>10.175000000000001</c:v>
                </c:pt>
                <c:pt idx="274">
                  <c:v>9.8659999999999997</c:v>
                </c:pt>
                <c:pt idx="275">
                  <c:v>9.7799999999999994</c:v>
                </c:pt>
                <c:pt idx="276">
                  <c:v>9.58</c:v>
                </c:pt>
                <c:pt idx="277">
                  <c:v>10.055</c:v>
                </c:pt>
                <c:pt idx="278">
                  <c:v>9.0939999999999994</c:v>
                </c:pt>
                <c:pt idx="279">
                  <c:v>8.86</c:v>
                </c:pt>
                <c:pt idx="280">
                  <c:v>9.34</c:v>
                </c:pt>
                <c:pt idx="281">
                  <c:v>9.0280000000000005</c:v>
                </c:pt>
                <c:pt idx="282">
                  <c:v>9.0660000000000007</c:v>
                </c:pt>
                <c:pt idx="283">
                  <c:v>9.7479999999999993</c:v>
                </c:pt>
                <c:pt idx="284">
                  <c:v>9.6</c:v>
                </c:pt>
                <c:pt idx="285">
                  <c:v>9.83</c:v>
                </c:pt>
                <c:pt idx="286">
                  <c:v>9.9499999999999993</c:v>
                </c:pt>
                <c:pt idx="287">
                  <c:v>9.9440000000000008</c:v>
                </c:pt>
                <c:pt idx="288">
                  <c:v>9.98</c:v>
                </c:pt>
                <c:pt idx="289">
                  <c:v>10.18</c:v>
                </c:pt>
                <c:pt idx="290">
                  <c:v>10.285</c:v>
                </c:pt>
                <c:pt idx="291">
                  <c:v>10.69</c:v>
                </c:pt>
                <c:pt idx="292">
                  <c:v>10.8</c:v>
                </c:pt>
                <c:pt idx="293">
                  <c:v>10.42</c:v>
                </c:pt>
                <c:pt idx="294">
                  <c:v>10.205</c:v>
                </c:pt>
                <c:pt idx="295">
                  <c:v>10.56</c:v>
                </c:pt>
                <c:pt idx="296">
                  <c:v>10.845000000000001</c:v>
                </c:pt>
                <c:pt idx="297">
                  <c:v>10.7</c:v>
                </c:pt>
                <c:pt idx="298">
                  <c:v>10.85</c:v>
                </c:pt>
                <c:pt idx="299">
                  <c:v>10.845000000000001</c:v>
                </c:pt>
                <c:pt idx="300">
                  <c:v>10.875</c:v>
                </c:pt>
                <c:pt idx="301">
                  <c:v>10.98</c:v>
                </c:pt>
                <c:pt idx="302">
                  <c:v>10.904999999999999</c:v>
                </c:pt>
                <c:pt idx="303">
                  <c:v>10.76</c:v>
                </c:pt>
                <c:pt idx="304">
                  <c:v>11</c:v>
                </c:pt>
                <c:pt idx="305">
                  <c:v>11.3</c:v>
                </c:pt>
                <c:pt idx="306">
                  <c:v>11.51</c:v>
                </c:pt>
                <c:pt idx="307">
                  <c:v>11.945</c:v>
                </c:pt>
                <c:pt idx="308">
                  <c:v>11.69</c:v>
                </c:pt>
                <c:pt idx="309">
                  <c:v>11.9</c:v>
                </c:pt>
                <c:pt idx="310">
                  <c:v>12.095000000000001</c:v>
                </c:pt>
                <c:pt idx="311">
                  <c:v>12.59</c:v>
                </c:pt>
                <c:pt idx="312">
                  <c:v>12.355</c:v>
                </c:pt>
                <c:pt idx="313">
                  <c:v>12.76</c:v>
                </c:pt>
                <c:pt idx="314">
                  <c:v>12.555</c:v>
                </c:pt>
                <c:pt idx="315">
                  <c:v>13.105</c:v>
                </c:pt>
                <c:pt idx="316">
                  <c:v>13.74</c:v>
                </c:pt>
                <c:pt idx="317">
                  <c:v>13.425000000000001</c:v>
                </c:pt>
                <c:pt idx="318">
                  <c:v>13.395</c:v>
                </c:pt>
                <c:pt idx="319">
                  <c:v>13.49</c:v>
                </c:pt>
                <c:pt idx="320">
                  <c:v>13.7</c:v>
                </c:pt>
                <c:pt idx="321">
                  <c:v>14.074999999999999</c:v>
                </c:pt>
                <c:pt idx="322">
                  <c:v>14.02</c:v>
                </c:pt>
                <c:pt idx="323">
                  <c:v>14.81</c:v>
                </c:pt>
                <c:pt idx="324">
                  <c:v>15.14</c:v>
                </c:pt>
                <c:pt idx="325">
                  <c:v>15.42</c:v>
                </c:pt>
                <c:pt idx="326">
                  <c:v>15.494999999999999</c:v>
                </c:pt>
                <c:pt idx="327">
                  <c:v>15.1</c:v>
                </c:pt>
                <c:pt idx="328">
                  <c:v>15.945</c:v>
                </c:pt>
                <c:pt idx="329">
                  <c:v>15.45</c:v>
                </c:pt>
                <c:pt idx="330">
                  <c:v>15.705</c:v>
                </c:pt>
                <c:pt idx="331">
                  <c:v>15.465</c:v>
                </c:pt>
                <c:pt idx="332">
                  <c:v>14.96</c:v>
                </c:pt>
                <c:pt idx="333">
                  <c:v>14.935</c:v>
                </c:pt>
                <c:pt idx="334">
                  <c:v>15.08</c:v>
                </c:pt>
                <c:pt idx="335">
                  <c:v>14.66</c:v>
                </c:pt>
                <c:pt idx="336">
                  <c:v>15.03</c:v>
                </c:pt>
                <c:pt idx="337">
                  <c:v>14.64</c:v>
                </c:pt>
                <c:pt idx="338">
                  <c:v>15.08</c:v>
                </c:pt>
                <c:pt idx="339">
                  <c:v>15.335000000000001</c:v>
                </c:pt>
                <c:pt idx="340">
                  <c:v>15.28</c:v>
                </c:pt>
                <c:pt idx="341">
                  <c:v>15.34</c:v>
                </c:pt>
                <c:pt idx="342">
                  <c:v>15.41</c:v>
                </c:pt>
                <c:pt idx="343">
                  <c:v>16.23</c:v>
                </c:pt>
                <c:pt idx="344">
                  <c:v>16.350000000000001</c:v>
                </c:pt>
                <c:pt idx="345">
                  <c:v>16.03</c:v>
                </c:pt>
                <c:pt idx="346">
                  <c:v>15.775</c:v>
                </c:pt>
                <c:pt idx="347">
                  <c:v>14.8</c:v>
                </c:pt>
                <c:pt idx="348">
                  <c:v>14.85</c:v>
                </c:pt>
                <c:pt idx="349">
                  <c:v>15.08</c:v>
                </c:pt>
                <c:pt idx="350">
                  <c:v>15.515000000000001</c:v>
                </c:pt>
                <c:pt idx="351">
                  <c:v>15.904999999999999</c:v>
                </c:pt>
                <c:pt idx="352">
                  <c:v>16.239999999999998</c:v>
                </c:pt>
                <c:pt idx="353">
                  <c:v>15.715</c:v>
                </c:pt>
                <c:pt idx="354">
                  <c:v>15.324999999999999</c:v>
                </c:pt>
                <c:pt idx="355">
                  <c:v>15.42</c:v>
                </c:pt>
                <c:pt idx="356">
                  <c:v>15.47</c:v>
                </c:pt>
                <c:pt idx="357">
                  <c:v>15.19</c:v>
                </c:pt>
                <c:pt idx="358">
                  <c:v>15.125</c:v>
                </c:pt>
                <c:pt idx="359">
                  <c:v>14.975</c:v>
                </c:pt>
                <c:pt idx="360">
                  <c:v>14.97</c:v>
                </c:pt>
                <c:pt idx="361">
                  <c:v>14.99</c:v>
                </c:pt>
                <c:pt idx="362">
                  <c:v>14.285</c:v>
                </c:pt>
                <c:pt idx="363">
                  <c:v>14.425000000000001</c:v>
                </c:pt>
                <c:pt idx="364">
                  <c:v>14.16</c:v>
                </c:pt>
                <c:pt idx="365">
                  <c:v>14.11</c:v>
                </c:pt>
                <c:pt idx="366">
                  <c:v>13.8</c:v>
                </c:pt>
                <c:pt idx="367">
                  <c:v>14.345000000000001</c:v>
                </c:pt>
                <c:pt idx="368">
                  <c:v>13.97</c:v>
                </c:pt>
                <c:pt idx="369">
                  <c:v>14.685</c:v>
                </c:pt>
                <c:pt idx="370">
                  <c:v>15.23</c:v>
                </c:pt>
                <c:pt idx="371">
                  <c:v>15.17</c:v>
                </c:pt>
                <c:pt idx="372">
                  <c:v>15.07</c:v>
                </c:pt>
                <c:pt idx="373">
                  <c:v>14.97</c:v>
                </c:pt>
                <c:pt idx="374">
                  <c:v>15.24</c:v>
                </c:pt>
                <c:pt idx="375">
                  <c:v>14.895</c:v>
                </c:pt>
                <c:pt idx="376">
                  <c:v>15.005000000000001</c:v>
                </c:pt>
                <c:pt idx="377">
                  <c:v>14.574999999999999</c:v>
                </c:pt>
                <c:pt idx="378">
                  <c:v>15.22</c:v>
                </c:pt>
                <c:pt idx="379">
                  <c:v>15.87</c:v>
                </c:pt>
                <c:pt idx="380">
                  <c:v>15.555</c:v>
                </c:pt>
                <c:pt idx="381">
                  <c:v>15.64</c:v>
                </c:pt>
                <c:pt idx="382">
                  <c:v>15.5</c:v>
                </c:pt>
                <c:pt idx="383">
                  <c:v>15.35</c:v>
                </c:pt>
                <c:pt idx="384">
                  <c:v>16.024999999999999</c:v>
                </c:pt>
                <c:pt idx="385">
                  <c:v>15.315</c:v>
                </c:pt>
                <c:pt idx="386">
                  <c:v>15.425000000000001</c:v>
                </c:pt>
                <c:pt idx="387">
                  <c:v>15.484999999999999</c:v>
                </c:pt>
                <c:pt idx="388">
                  <c:v>15.285</c:v>
                </c:pt>
                <c:pt idx="389">
                  <c:v>15.425000000000001</c:v>
                </c:pt>
                <c:pt idx="390">
                  <c:v>15.34</c:v>
                </c:pt>
                <c:pt idx="391">
                  <c:v>15.61</c:v>
                </c:pt>
                <c:pt idx="392">
                  <c:v>15.87</c:v>
                </c:pt>
                <c:pt idx="393">
                  <c:v>16</c:v>
                </c:pt>
                <c:pt idx="394">
                  <c:v>17.274999999999999</c:v>
                </c:pt>
                <c:pt idx="395">
                  <c:v>17.670000000000002</c:v>
                </c:pt>
                <c:pt idx="396">
                  <c:v>17.465</c:v>
                </c:pt>
                <c:pt idx="397">
                  <c:v>17.45</c:v>
                </c:pt>
                <c:pt idx="398">
                  <c:v>17.625</c:v>
                </c:pt>
                <c:pt idx="399">
                  <c:v>18.344999999999999</c:v>
                </c:pt>
                <c:pt idx="400">
                  <c:v>18.07</c:v>
                </c:pt>
                <c:pt idx="401">
                  <c:v>18.015000000000001</c:v>
                </c:pt>
                <c:pt idx="402">
                  <c:v>18.02</c:v>
                </c:pt>
                <c:pt idx="403">
                  <c:v>18.420000000000002</c:v>
                </c:pt>
                <c:pt idx="404">
                  <c:v>18.5</c:v>
                </c:pt>
                <c:pt idx="405">
                  <c:v>18.75</c:v>
                </c:pt>
                <c:pt idx="406">
                  <c:v>18.57</c:v>
                </c:pt>
                <c:pt idx="407">
                  <c:v>17.305</c:v>
                </c:pt>
                <c:pt idx="408">
                  <c:v>17.274999999999999</c:v>
                </c:pt>
                <c:pt idx="409">
                  <c:v>17.190000000000001</c:v>
                </c:pt>
                <c:pt idx="410">
                  <c:v>17.170000000000002</c:v>
                </c:pt>
                <c:pt idx="411">
                  <c:v>17.105</c:v>
                </c:pt>
                <c:pt idx="412">
                  <c:v>17.28</c:v>
                </c:pt>
                <c:pt idx="413">
                  <c:v>17.170000000000002</c:v>
                </c:pt>
                <c:pt idx="414">
                  <c:v>16.445</c:v>
                </c:pt>
                <c:pt idx="415">
                  <c:v>16.515000000000001</c:v>
                </c:pt>
                <c:pt idx="416">
                  <c:v>16.475000000000001</c:v>
                </c:pt>
                <c:pt idx="417">
                  <c:v>16.265000000000001</c:v>
                </c:pt>
                <c:pt idx="418">
                  <c:v>16.53</c:v>
                </c:pt>
                <c:pt idx="419">
                  <c:v>16.335000000000001</c:v>
                </c:pt>
                <c:pt idx="420">
                  <c:v>15.81</c:v>
                </c:pt>
                <c:pt idx="421">
                  <c:v>15.574999999999999</c:v>
                </c:pt>
                <c:pt idx="422">
                  <c:v>15.324999999999999</c:v>
                </c:pt>
                <c:pt idx="423">
                  <c:v>15.19</c:v>
                </c:pt>
                <c:pt idx="424">
                  <c:v>15.35</c:v>
                </c:pt>
                <c:pt idx="425">
                  <c:v>15.615</c:v>
                </c:pt>
                <c:pt idx="426">
                  <c:v>15.48</c:v>
                </c:pt>
                <c:pt idx="427">
                  <c:v>15.29</c:v>
                </c:pt>
                <c:pt idx="428">
                  <c:v>15.285</c:v>
                </c:pt>
                <c:pt idx="429">
                  <c:v>15.215</c:v>
                </c:pt>
                <c:pt idx="430">
                  <c:v>15.7</c:v>
                </c:pt>
                <c:pt idx="431">
                  <c:v>15.45</c:v>
                </c:pt>
                <c:pt idx="432">
                  <c:v>15.47</c:v>
                </c:pt>
                <c:pt idx="433">
                  <c:v>16.2</c:v>
                </c:pt>
                <c:pt idx="434">
                  <c:v>16.21</c:v>
                </c:pt>
                <c:pt idx="435">
                  <c:v>16.684999999999999</c:v>
                </c:pt>
                <c:pt idx="436">
                  <c:v>16.725000000000001</c:v>
                </c:pt>
                <c:pt idx="437">
                  <c:v>16.824999999999999</c:v>
                </c:pt>
                <c:pt idx="438">
                  <c:v>17.215</c:v>
                </c:pt>
                <c:pt idx="439">
                  <c:v>17.254999999999999</c:v>
                </c:pt>
                <c:pt idx="440">
                  <c:v>17.149999999999999</c:v>
                </c:pt>
                <c:pt idx="441">
                  <c:v>16.824999999999999</c:v>
                </c:pt>
                <c:pt idx="442">
                  <c:v>16.77</c:v>
                </c:pt>
                <c:pt idx="443">
                  <c:v>16.100000000000001</c:v>
                </c:pt>
                <c:pt idx="444">
                  <c:v>16.7</c:v>
                </c:pt>
                <c:pt idx="445">
                  <c:v>16.41</c:v>
                </c:pt>
                <c:pt idx="446">
                  <c:v>15.45</c:v>
                </c:pt>
                <c:pt idx="447">
                  <c:v>15.56</c:v>
                </c:pt>
                <c:pt idx="448">
                  <c:v>16.28</c:v>
                </c:pt>
                <c:pt idx="449">
                  <c:v>16.734999999999999</c:v>
                </c:pt>
                <c:pt idx="450">
                  <c:v>16.725000000000001</c:v>
                </c:pt>
                <c:pt idx="451">
                  <c:v>15.87</c:v>
                </c:pt>
                <c:pt idx="452">
                  <c:v>16.565000000000001</c:v>
                </c:pt>
                <c:pt idx="453">
                  <c:v>15.855</c:v>
                </c:pt>
                <c:pt idx="454">
                  <c:v>15.035</c:v>
                </c:pt>
                <c:pt idx="455">
                  <c:v>15.18</c:v>
                </c:pt>
                <c:pt idx="456">
                  <c:v>15.27</c:v>
                </c:pt>
                <c:pt idx="457">
                  <c:v>14.77</c:v>
                </c:pt>
                <c:pt idx="458">
                  <c:v>15.385</c:v>
                </c:pt>
                <c:pt idx="459">
                  <c:v>15.994999999999999</c:v>
                </c:pt>
                <c:pt idx="460">
                  <c:v>16.23</c:v>
                </c:pt>
                <c:pt idx="461">
                  <c:v>15.82</c:v>
                </c:pt>
                <c:pt idx="462">
                  <c:v>15.984999999999999</c:v>
                </c:pt>
                <c:pt idx="463">
                  <c:v>16.239999999999998</c:v>
                </c:pt>
                <c:pt idx="464">
                  <c:v>16.2</c:v>
                </c:pt>
                <c:pt idx="465">
                  <c:v>16.324999999999999</c:v>
                </c:pt>
                <c:pt idx="466">
                  <c:v>15.91</c:v>
                </c:pt>
                <c:pt idx="467">
                  <c:v>15.54</c:v>
                </c:pt>
                <c:pt idx="468">
                  <c:v>15.975</c:v>
                </c:pt>
                <c:pt idx="469">
                  <c:v>14.324999999999999</c:v>
                </c:pt>
                <c:pt idx="470">
                  <c:v>14.505000000000001</c:v>
                </c:pt>
                <c:pt idx="471">
                  <c:v>14.005000000000001</c:v>
                </c:pt>
                <c:pt idx="472">
                  <c:v>14.455</c:v>
                </c:pt>
                <c:pt idx="473">
                  <c:v>14.005000000000001</c:v>
                </c:pt>
                <c:pt idx="474">
                  <c:v>13.31</c:v>
                </c:pt>
                <c:pt idx="475">
                  <c:v>13.795</c:v>
                </c:pt>
                <c:pt idx="476">
                  <c:v>13.53</c:v>
                </c:pt>
                <c:pt idx="477">
                  <c:v>12.965</c:v>
                </c:pt>
                <c:pt idx="478">
                  <c:v>13.42</c:v>
                </c:pt>
                <c:pt idx="479">
                  <c:v>13.52</c:v>
                </c:pt>
                <c:pt idx="480">
                  <c:v>13.99</c:v>
                </c:pt>
                <c:pt idx="481">
                  <c:v>14.574999999999999</c:v>
                </c:pt>
                <c:pt idx="482">
                  <c:v>14.43</c:v>
                </c:pt>
                <c:pt idx="483">
                  <c:v>15.33</c:v>
                </c:pt>
                <c:pt idx="484">
                  <c:v>15.195</c:v>
                </c:pt>
                <c:pt idx="485">
                  <c:v>15.035</c:v>
                </c:pt>
                <c:pt idx="486">
                  <c:v>14.15</c:v>
                </c:pt>
                <c:pt idx="487">
                  <c:v>14.85</c:v>
                </c:pt>
                <c:pt idx="488">
                  <c:v>14.11</c:v>
                </c:pt>
                <c:pt idx="489">
                  <c:v>14.18</c:v>
                </c:pt>
                <c:pt idx="490">
                  <c:v>14.535</c:v>
                </c:pt>
                <c:pt idx="491">
                  <c:v>14.14</c:v>
                </c:pt>
                <c:pt idx="492">
                  <c:v>14.154999999999999</c:v>
                </c:pt>
                <c:pt idx="493">
                  <c:v>13.64</c:v>
                </c:pt>
                <c:pt idx="494">
                  <c:v>13.285</c:v>
                </c:pt>
                <c:pt idx="495">
                  <c:v>13.26</c:v>
                </c:pt>
                <c:pt idx="496">
                  <c:v>12.695</c:v>
                </c:pt>
                <c:pt idx="497">
                  <c:v>12.585000000000001</c:v>
                </c:pt>
                <c:pt idx="498">
                  <c:v>12.23</c:v>
                </c:pt>
                <c:pt idx="499">
                  <c:v>12.55</c:v>
                </c:pt>
                <c:pt idx="500">
                  <c:v>12.99</c:v>
                </c:pt>
                <c:pt idx="501">
                  <c:v>13.65</c:v>
                </c:pt>
                <c:pt idx="502">
                  <c:v>14.34</c:v>
                </c:pt>
                <c:pt idx="503">
                  <c:v>14.45</c:v>
                </c:pt>
                <c:pt idx="504">
                  <c:v>14.4</c:v>
                </c:pt>
                <c:pt idx="505">
                  <c:v>15.145</c:v>
                </c:pt>
                <c:pt idx="506">
                  <c:v>15.115</c:v>
                </c:pt>
                <c:pt idx="507">
                  <c:v>15.09</c:v>
                </c:pt>
                <c:pt idx="508">
                  <c:v>15.22</c:v>
                </c:pt>
                <c:pt idx="509">
                  <c:v>15.67</c:v>
                </c:pt>
                <c:pt idx="510">
                  <c:v>15.82</c:v>
                </c:pt>
                <c:pt idx="511">
                  <c:v>15.84</c:v>
                </c:pt>
                <c:pt idx="512">
                  <c:v>16.125</c:v>
                </c:pt>
                <c:pt idx="513">
                  <c:v>16.510000000000002</c:v>
                </c:pt>
                <c:pt idx="514">
                  <c:v>16.215</c:v>
                </c:pt>
                <c:pt idx="515">
                  <c:v>16.059999999999999</c:v>
                </c:pt>
                <c:pt idx="516">
                  <c:v>16.105</c:v>
                </c:pt>
                <c:pt idx="517">
                  <c:v>16.239999999999998</c:v>
                </c:pt>
                <c:pt idx="518">
                  <c:v>15.76</c:v>
                </c:pt>
                <c:pt idx="519">
                  <c:v>16.125</c:v>
                </c:pt>
                <c:pt idx="520">
                  <c:v>16.024999999999999</c:v>
                </c:pt>
                <c:pt idx="521">
                  <c:v>16.22</c:v>
                </c:pt>
                <c:pt idx="522">
                  <c:v>16.100000000000001</c:v>
                </c:pt>
                <c:pt idx="523">
                  <c:v>16.594999999999999</c:v>
                </c:pt>
                <c:pt idx="524">
                  <c:v>16.95</c:v>
                </c:pt>
                <c:pt idx="525">
                  <c:v>16.899999999999999</c:v>
                </c:pt>
                <c:pt idx="526">
                  <c:v>16.940000000000001</c:v>
                </c:pt>
                <c:pt idx="527">
                  <c:v>16.675000000000001</c:v>
                </c:pt>
                <c:pt idx="528">
                  <c:v>17.559999999999999</c:v>
                </c:pt>
                <c:pt idx="529">
                  <c:v>17.98</c:v>
                </c:pt>
                <c:pt idx="530">
                  <c:v>18.074999999999999</c:v>
                </c:pt>
                <c:pt idx="531">
                  <c:v>17.96</c:v>
                </c:pt>
                <c:pt idx="532">
                  <c:v>18.28</c:v>
                </c:pt>
                <c:pt idx="533">
                  <c:v>18.170000000000002</c:v>
                </c:pt>
                <c:pt idx="534">
                  <c:v>18.204999999999998</c:v>
                </c:pt>
                <c:pt idx="535">
                  <c:v>19.149999999999999</c:v>
                </c:pt>
                <c:pt idx="536">
                  <c:v>19.05</c:v>
                </c:pt>
                <c:pt idx="537">
                  <c:v>19</c:v>
                </c:pt>
                <c:pt idx="538">
                  <c:v>18.23</c:v>
                </c:pt>
                <c:pt idx="539">
                  <c:v>18.355</c:v>
                </c:pt>
                <c:pt idx="540">
                  <c:v>18.565000000000001</c:v>
                </c:pt>
                <c:pt idx="541">
                  <c:v>18.204999999999998</c:v>
                </c:pt>
                <c:pt idx="542">
                  <c:v>18.035</c:v>
                </c:pt>
                <c:pt idx="543">
                  <c:v>18.215</c:v>
                </c:pt>
                <c:pt idx="544">
                  <c:v>18.350000000000001</c:v>
                </c:pt>
                <c:pt idx="545">
                  <c:v>18.215</c:v>
                </c:pt>
                <c:pt idx="546">
                  <c:v>18.125</c:v>
                </c:pt>
                <c:pt idx="547">
                  <c:v>17.899999999999999</c:v>
                </c:pt>
                <c:pt idx="548">
                  <c:v>18.265000000000001</c:v>
                </c:pt>
                <c:pt idx="549">
                  <c:v>18.234999999999999</c:v>
                </c:pt>
                <c:pt idx="550">
                  <c:v>18.809999999999999</c:v>
                </c:pt>
                <c:pt idx="551">
                  <c:v>19.065000000000001</c:v>
                </c:pt>
                <c:pt idx="552">
                  <c:v>18.704999999999998</c:v>
                </c:pt>
                <c:pt idx="553">
                  <c:v>18.690000000000001</c:v>
                </c:pt>
                <c:pt idx="554">
                  <c:v>18.815000000000001</c:v>
                </c:pt>
                <c:pt idx="555">
                  <c:v>19.035</c:v>
                </c:pt>
                <c:pt idx="556">
                  <c:v>19.425000000000001</c:v>
                </c:pt>
                <c:pt idx="557">
                  <c:v>18.835000000000001</c:v>
                </c:pt>
                <c:pt idx="558">
                  <c:v>18.52</c:v>
                </c:pt>
                <c:pt idx="559">
                  <c:v>18.89</c:v>
                </c:pt>
                <c:pt idx="560">
                  <c:v>18.77</c:v>
                </c:pt>
                <c:pt idx="561">
                  <c:v>18.715</c:v>
                </c:pt>
                <c:pt idx="562">
                  <c:v>19.149999999999999</c:v>
                </c:pt>
                <c:pt idx="563">
                  <c:v>19.43</c:v>
                </c:pt>
                <c:pt idx="564">
                  <c:v>19.63</c:v>
                </c:pt>
                <c:pt idx="565">
                  <c:v>19.605</c:v>
                </c:pt>
                <c:pt idx="566">
                  <c:v>19.594999999999999</c:v>
                </c:pt>
                <c:pt idx="567">
                  <c:v>19.600000000000001</c:v>
                </c:pt>
                <c:pt idx="568">
                  <c:v>19.850000000000001</c:v>
                </c:pt>
                <c:pt idx="569">
                  <c:v>19.190000000000001</c:v>
                </c:pt>
                <c:pt idx="570">
                  <c:v>19.48</c:v>
                </c:pt>
                <c:pt idx="571">
                  <c:v>19.405000000000001</c:v>
                </c:pt>
                <c:pt idx="572">
                  <c:v>19.399999999999999</c:v>
                </c:pt>
                <c:pt idx="573">
                  <c:v>19.64</c:v>
                </c:pt>
                <c:pt idx="574">
                  <c:v>19.739999999999998</c:v>
                </c:pt>
                <c:pt idx="575">
                  <c:v>19.734999999999999</c:v>
                </c:pt>
                <c:pt idx="576">
                  <c:v>20.47</c:v>
                </c:pt>
                <c:pt idx="577">
                  <c:v>20.23</c:v>
                </c:pt>
                <c:pt idx="578">
                  <c:v>20.350000000000001</c:v>
                </c:pt>
                <c:pt idx="579">
                  <c:v>19.765000000000001</c:v>
                </c:pt>
                <c:pt idx="580">
                  <c:v>19.440000000000001</c:v>
                </c:pt>
                <c:pt idx="581">
                  <c:v>19.57</c:v>
                </c:pt>
                <c:pt idx="582">
                  <c:v>19</c:v>
                </c:pt>
                <c:pt idx="583">
                  <c:v>19.309999999999999</c:v>
                </c:pt>
                <c:pt idx="584">
                  <c:v>19.125</c:v>
                </c:pt>
                <c:pt idx="585">
                  <c:v>19.03</c:v>
                </c:pt>
                <c:pt idx="586">
                  <c:v>17.805</c:v>
                </c:pt>
                <c:pt idx="587">
                  <c:v>16.47</c:v>
                </c:pt>
                <c:pt idx="588">
                  <c:v>16.55</c:v>
                </c:pt>
                <c:pt idx="589">
                  <c:v>16.914999999999999</c:v>
                </c:pt>
                <c:pt idx="590">
                  <c:v>16.774999999999999</c:v>
                </c:pt>
                <c:pt idx="591">
                  <c:v>16.899999999999999</c:v>
                </c:pt>
                <c:pt idx="592">
                  <c:v>17.204999999999998</c:v>
                </c:pt>
                <c:pt idx="593">
                  <c:v>17.309999999999999</c:v>
                </c:pt>
                <c:pt idx="594">
                  <c:v>17.135000000000002</c:v>
                </c:pt>
                <c:pt idx="595">
                  <c:v>17.03</c:v>
                </c:pt>
                <c:pt idx="596">
                  <c:v>15.875</c:v>
                </c:pt>
                <c:pt idx="597">
                  <c:v>16.05</c:v>
                </c:pt>
                <c:pt idx="598">
                  <c:v>15.895</c:v>
                </c:pt>
                <c:pt idx="599">
                  <c:v>16.309999999999999</c:v>
                </c:pt>
                <c:pt idx="600">
                  <c:v>15.28</c:v>
                </c:pt>
                <c:pt idx="601">
                  <c:v>15.195</c:v>
                </c:pt>
                <c:pt idx="602">
                  <c:v>14.9</c:v>
                </c:pt>
                <c:pt idx="603">
                  <c:v>14.94</c:v>
                </c:pt>
                <c:pt idx="604">
                  <c:v>15.25</c:v>
                </c:pt>
                <c:pt idx="605">
                  <c:v>15</c:v>
                </c:pt>
                <c:pt idx="606">
                  <c:v>15.41</c:v>
                </c:pt>
                <c:pt idx="607">
                  <c:v>15.36</c:v>
                </c:pt>
                <c:pt idx="608">
                  <c:v>14.98</c:v>
                </c:pt>
                <c:pt idx="609">
                  <c:v>15.29</c:v>
                </c:pt>
                <c:pt idx="610">
                  <c:v>15.33</c:v>
                </c:pt>
                <c:pt idx="611">
                  <c:v>15.105</c:v>
                </c:pt>
                <c:pt idx="612">
                  <c:v>15.54</c:v>
                </c:pt>
                <c:pt idx="613">
                  <c:v>15.355</c:v>
                </c:pt>
                <c:pt idx="614">
                  <c:v>15.91</c:v>
                </c:pt>
                <c:pt idx="615">
                  <c:v>16.05</c:v>
                </c:pt>
                <c:pt idx="616">
                  <c:v>15.78</c:v>
                </c:pt>
                <c:pt idx="617">
                  <c:v>15.335000000000001</c:v>
                </c:pt>
                <c:pt idx="618">
                  <c:v>15.62</c:v>
                </c:pt>
                <c:pt idx="619">
                  <c:v>15.67</c:v>
                </c:pt>
                <c:pt idx="620">
                  <c:v>15.45</c:v>
                </c:pt>
                <c:pt idx="621">
                  <c:v>15.775</c:v>
                </c:pt>
                <c:pt idx="622">
                  <c:v>15.335000000000001</c:v>
                </c:pt>
                <c:pt idx="623">
                  <c:v>15.065</c:v>
                </c:pt>
                <c:pt idx="624">
                  <c:v>14.965</c:v>
                </c:pt>
                <c:pt idx="625">
                  <c:v>14.994999999999999</c:v>
                </c:pt>
                <c:pt idx="626">
                  <c:v>15.01</c:v>
                </c:pt>
                <c:pt idx="627">
                  <c:v>14.59</c:v>
                </c:pt>
                <c:pt idx="628">
                  <c:v>15.154999999999999</c:v>
                </c:pt>
                <c:pt idx="629">
                  <c:v>15.11</c:v>
                </c:pt>
                <c:pt idx="630">
                  <c:v>15.3</c:v>
                </c:pt>
                <c:pt idx="631">
                  <c:v>15.154999999999999</c:v>
                </c:pt>
                <c:pt idx="632">
                  <c:v>14.79</c:v>
                </c:pt>
                <c:pt idx="633">
                  <c:v>14.36</c:v>
                </c:pt>
                <c:pt idx="634">
                  <c:v>14.115</c:v>
                </c:pt>
                <c:pt idx="635">
                  <c:v>14.11</c:v>
                </c:pt>
                <c:pt idx="636">
                  <c:v>14.48</c:v>
                </c:pt>
                <c:pt idx="637">
                  <c:v>14.66</c:v>
                </c:pt>
                <c:pt idx="638">
                  <c:v>14.535</c:v>
                </c:pt>
                <c:pt idx="639">
                  <c:v>14.6</c:v>
                </c:pt>
                <c:pt idx="640">
                  <c:v>14.71</c:v>
                </c:pt>
                <c:pt idx="641">
                  <c:v>15.105</c:v>
                </c:pt>
                <c:pt idx="642">
                  <c:v>14.5</c:v>
                </c:pt>
                <c:pt idx="643">
                  <c:v>14.9</c:v>
                </c:pt>
                <c:pt idx="644">
                  <c:v>14.185</c:v>
                </c:pt>
                <c:pt idx="645">
                  <c:v>13.855</c:v>
                </c:pt>
                <c:pt idx="646">
                  <c:v>13.5</c:v>
                </c:pt>
                <c:pt idx="647">
                  <c:v>13.43</c:v>
                </c:pt>
                <c:pt idx="648">
                  <c:v>12.76</c:v>
                </c:pt>
                <c:pt idx="649">
                  <c:v>12.855</c:v>
                </c:pt>
                <c:pt idx="650">
                  <c:v>12.76</c:v>
                </c:pt>
                <c:pt idx="651">
                  <c:v>12.715</c:v>
                </c:pt>
                <c:pt idx="652">
                  <c:v>12.94</c:v>
                </c:pt>
                <c:pt idx="653">
                  <c:v>12</c:v>
                </c:pt>
                <c:pt idx="654">
                  <c:v>11.475</c:v>
                </c:pt>
                <c:pt idx="655">
                  <c:v>11.154999999999999</c:v>
                </c:pt>
                <c:pt idx="656">
                  <c:v>11.85</c:v>
                </c:pt>
                <c:pt idx="657">
                  <c:v>11.755000000000001</c:v>
                </c:pt>
                <c:pt idx="658">
                  <c:v>12.38</c:v>
                </c:pt>
                <c:pt idx="659">
                  <c:v>11.955</c:v>
                </c:pt>
                <c:pt idx="660">
                  <c:v>11.88</c:v>
                </c:pt>
                <c:pt idx="661">
                  <c:v>11.615</c:v>
                </c:pt>
                <c:pt idx="662">
                  <c:v>11.72</c:v>
                </c:pt>
                <c:pt idx="663">
                  <c:v>11.81</c:v>
                </c:pt>
                <c:pt idx="664">
                  <c:v>12.08</c:v>
                </c:pt>
                <c:pt idx="665">
                  <c:v>12.065</c:v>
                </c:pt>
                <c:pt idx="666">
                  <c:v>12.115</c:v>
                </c:pt>
                <c:pt idx="667">
                  <c:v>11.755000000000001</c:v>
                </c:pt>
                <c:pt idx="668">
                  <c:v>11.965</c:v>
                </c:pt>
                <c:pt idx="669">
                  <c:v>12.85</c:v>
                </c:pt>
                <c:pt idx="670">
                  <c:v>12.385</c:v>
                </c:pt>
                <c:pt idx="671">
                  <c:v>12.695</c:v>
                </c:pt>
                <c:pt idx="672">
                  <c:v>13.32</c:v>
                </c:pt>
                <c:pt idx="673">
                  <c:v>13.59</c:v>
                </c:pt>
                <c:pt idx="674">
                  <c:v>13.195</c:v>
                </c:pt>
                <c:pt idx="675">
                  <c:v>13.515000000000001</c:v>
                </c:pt>
                <c:pt idx="676">
                  <c:v>14.42</c:v>
                </c:pt>
                <c:pt idx="677">
                  <c:v>13.715</c:v>
                </c:pt>
                <c:pt idx="678">
                  <c:v>13.824999999999999</c:v>
                </c:pt>
                <c:pt idx="679">
                  <c:v>14.01</c:v>
                </c:pt>
                <c:pt idx="680">
                  <c:v>14</c:v>
                </c:pt>
                <c:pt idx="681">
                  <c:v>13.78</c:v>
                </c:pt>
                <c:pt idx="682">
                  <c:v>13.615</c:v>
                </c:pt>
                <c:pt idx="683">
                  <c:v>12.895</c:v>
                </c:pt>
                <c:pt idx="684">
                  <c:v>13.085000000000001</c:v>
                </c:pt>
                <c:pt idx="685">
                  <c:v>13.07</c:v>
                </c:pt>
                <c:pt idx="686">
                  <c:v>13.12</c:v>
                </c:pt>
                <c:pt idx="687">
                  <c:v>12.99</c:v>
                </c:pt>
                <c:pt idx="688">
                  <c:v>12.535</c:v>
                </c:pt>
                <c:pt idx="689">
                  <c:v>12.154999999999999</c:v>
                </c:pt>
                <c:pt idx="690">
                  <c:v>12.66</c:v>
                </c:pt>
                <c:pt idx="691">
                  <c:v>12.85</c:v>
                </c:pt>
                <c:pt idx="692">
                  <c:v>12.585000000000001</c:v>
                </c:pt>
                <c:pt idx="693">
                  <c:v>12.55</c:v>
                </c:pt>
                <c:pt idx="694">
                  <c:v>12.744999999999999</c:v>
                </c:pt>
                <c:pt idx="695">
                  <c:v>13.14</c:v>
                </c:pt>
                <c:pt idx="696">
                  <c:v>12.73</c:v>
                </c:pt>
                <c:pt idx="697">
                  <c:v>12.65</c:v>
                </c:pt>
                <c:pt idx="698">
                  <c:v>12.54</c:v>
                </c:pt>
                <c:pt idx="699">
                  <c:v>12.475</c:v>
                </c:pt>
                <c:pt idx="700">
                  <c:v>12.33</c:v>
                </c:pt>
                <c:pt idx="701">
                  <c:v>12.46</c:v>
                </c:pt>
                <c:pt idx="702">
                  <c:v>12.395</c:v>
                </c:pt>
                <c:pt idx="703">
                  <c:v>12.435</c:v>
                </c:pt>
                <c:pt idx="704">
                  <c:v>12.66</c:v>
                </c:pt>
                <c:pt idx="705">
                  <c:v>12.18</c:v>
                </c:pt>
                <c:pt idx="706">
                  <c:v>12.08</c:v>
                </c:pt>
                <c:pt idx="707">
                  <c:v>12.135</c:v>
                </c:pt>
                <c:pt idx="708">
                  <c:v>11.92</c:v>
                </c:pt>
                <c:pt idx="709">
                  <c:v>11.105</c:v>
                </c:pt>
                <c:pt idx="710">
                  <c:v>11.23</c:v>
                </c:pt>
                <c:pt idx="711">
                  <c:v>11.565</c:v>
                </c:pt>
                <c:pt idx="712">
                  <c:v>12</c:v>
                </c:pt>
                <c:pt idx="713">
                  <c:v>11.85</c:v>
                </c:pt>
                <c:pt idx="714">
                  <c:v>11.775</c:v>
                </c:pt>
                <c:pt idx="715">
                  <c:v>11.385</c:v>
                </c:pt>
                <c:pt idx="716">
                  <c:v>11.285</c:v>
                </c:pt>
                <c:pt idx="717">
                  <c:v>11.27</c:v>
                </c:pt>
                <c:pt idx="718">
                  <c:v>10.955</c:v>
                </c:pt>
                <c:pt idx="719">
                  <c:v>11.04</c:v>
                </c:pt>
                <c:pt idx="720">
                  <c:v>11.52</c:v>
                </c:pt>
                <c:pt idx="721">
                  <c:v>11.18</c:v>
                </c:pt>
                <c:pt idx="722">
                  <c:v>11.1</c:v>
                </c:pt>
                <c:pt idx="723">
                  <c:v>10.83</c:v>
                </c:pt>
                <c:pt idx="724">
                  <c:v>10.92</c:v>
                </c:pt>
                <c:pt idx="725">
                  <c:v>11.015000000000001</c:v>
                </c:pt>
                <c:pt idx="726">
                  <c:v>10.91</c:v>
                </c:pt>
                <c:pt idx="727">
                  <c:v>10.785</c:v>
                </c:pt>
                <c:pt idx="728">
                  <c:v>10.675000000000001</c:v>
                </c:pt>
                <c:pt idx="729">
                  <c:v>10.705</c:v>
                </c:pt>
                <c:pt idx="730">
                  <c:v>10.48</c:v>
                </c:pt>
                <c:pt idx="731">
                  <c:v>10.345000000000001</c:v>
                </c:pt>
                <c:pt idx="732">
                  <c:v>9.9019999999999992</c:v>
                </c:pt>
                <c:pt idx="733">
                  <c:v>10.225</c:v>
                </c:pt>
                <c:pt idx="734">
                  <c:v>10.26</c:v>
                </c:pt>
                <c:pt idx="735">
                  <c:v>10.43</c:v>
                </c:pt>
                <c:pt idx="736">
                  <c:v>10.225</c:v>
                </c:pt>
                <c:pt idx="737">
                  <c:v>10.324999999999999</c:v>
                </c:pt>
                <c:pt idx="738">
                  <c:v>10.210000000000001</c:v>
                </c:pt>
                <c:pt idx="739">
                  <c:v>10.085000000000001</c:v>
                </c:pt>
                <c:pt idx="740">
                  <c:v>10.615</c:v>
                </c:pt>
                <c:pt idx="741">
                  <c:v>10.775</c:v>
                </c:pt>
                <c:pt idx="742">
                  <c:v>11.08</c:v>
                </c:pt>
                <c:pt idx="743">
                  <c:v>11.2</c:v>
                </c:pt>
                <c:pt idx="744">
                  <c:v>11.26</c:v>
                </c:pt>
                <c:pt idx="745">
                  <c:v>11.39</c:v>
                </c:pt>
                <c:pt idx="746">
                  <c:v>11.385</c:v>
                </c:pt>
                <c:pt idx="747">
                  <c:v>11.39</c:v>
                </c:pt>
                <c:pt idx="748">
                  <c:v>11.57</c:v>
                </c:pt>
                <c:pt idx="749">
                  <c:v>11.41</c:v>
                </c:pt>
                <c:pt idx="750">
                  <c:v>11.39</c:v>
                </c:pt>
                <c:pt idx="751">
                  <c:v>10.015000000000001</c:v>
                </c:pt>
                <c:pt idx="752">
                  <c:v>10</c:v>
                </c:pt>
                <c:pt idx="753">
                  <c:v>10.06</c:v>
                </c:pt>
                <c:pt idx="754">
                  <c:v>10.29</c:v>
                </c:pt>
                <c:pt idx="755">
                  <c:v>10.37</c:v>
                </c:pt>
                <c:pt idx="756">
                  <c:v>10.35</c:v>
                </c:pt>
                <c:pt idx="757">
                  <c:v>10.525</c:v>
                </c:pt>
                <c:pt idx="758">
                  <c:v>10.385</c:v>
                </c:pt>
                <c:pt idx="759">
                  <c:v>10.465</c:v>
                </c:pt>
                <c:pt idx="760">
                  <c:v>10.455</c:v>
                </c:pt>
                <c:pt idx="761">
                  <c:v>10.45</c:v>
                </c:pt>
                <c:pt idx="762">
                  <c:v>10.26</c:v>
                </c:pt>
                <c:pt idx="763">
                  <c:v>10.145</c:v>
                </c:pt>
                <c:pt idx="764">
                  <c:v>9.7439999999999998</c:v>
                </c:pt>
                <c:pt idx="765">
                  <c:v>9.9179999999999993</c:v>
                </c:pt>
                <c:pt idx="766">
                  <c:v>9.5239999999999991</c:v>
                </c:pt>
                <c:pt idx="767">
                  <c:v>9.76</c:v>
                </c:pt>
                <c:pt idx="768">
                  <c:v>9.6</c:v>
                </c:pt>
                <c:pt idx="769">
                  <c:v>9.3160000000000007</c:v>
                </c:pt>
                <c:pt idx="770">
                  <c:v>9.2240000000000002</c:v>
                </c:pt>
                <c:pt idx="771">
                  <c:v>9.3800000000000008</c:v>
                </c:pt>
                <c:pt idx="772">
                  <c:v>9.7720000000000002</c:v>
                </c:pt>
                <c:pt idx="773">
                  <c:v>9.8800000000000008</c:v>
                </c:pt>
                <c:pt idx="774">
                  <c:v>9.1479999999999997</c:v>
                </c:pt>
                <c:pt idx="775">
                  <c:v>8.64</c:v>
                </c:pt>
                <c:pt idx="776">
                  <c:v>8.02</c:v>
                </c:pt>
                <c:pt idx="777">
                  <c:v>8.1560000000000006</c:v>
                </c:pt>
                <c:pt idx="778">
                  <c:v>8.3000000000000007</c:v>
                </c:pt>
                <c:pt idx="779">
                  <c:v>8.1560000000000006</c:v>
                </c:pt>
                <c:pt idx="780">
                  <c:v>8.1</c:v>
                </c:pt>
                <c:pt idx="781">
                  <c:v>7.99</c:v>
                </c:pt>
                <c:pt idx="782">
                  <c:v>7.8540000000000001</c:v>
                </c:pt>
                <c:pt idx="783">
                  <c:v>7.806</c:v>
                </c:pt>
                <c:pt idx="784">
                  <c:v>7.992</c:v>
                </c:pt>
                <c:pt idx="785">
                  <c:v>7.7</c:v>
                </c:pt>
                <c:pt idx="786">
                  <c:v>6.9080000000000004</c:v>
                </c:pt>
                <c:pt idx="787">
                  <c:v>6.806</c:v>
                </c:pt>
                <c:pt idx="788">
                  <c:v>6.8559999999999999</c:v>
                </c:pt>
                <c:pt idx="789">
                  <c:v>6.1280000000000001</c:v>
                </c:pt>
                <c:pt idx="790">
                  <c:v>6.4580000000000002</c:v>
                </c:pt>
                <c:pt idx="791">
                  <c:v>6.5</c:v>
                </c:pt>
                <c:pt idx="792">
                  <c:v>6.8659999999999997</c:v>
                </c:pt>
                <c:pt idx="793">
                  <c:v>6.75</c:v>
                </c:pt>
                <c:pt idx="794">
                  <c:v>6.2380000000000004</c:v>
                </c:pt>
                <c:pt idx="795">
                  <c:v>5.798</c:v>
                </c:pt>
                <c:pt idx="796">
                  <c:v>4.4180000000000001</c:v>
                </c:pt>
                <c:pt idx="797">
                  <c:v>4.1619999999999999</c:v>
                </c:pt>
                <c:pt idx="798">
                  <c:v>4.1459999999999999</c:v>
                </c:pt>
                <c:pt idx="799">
                  <c:v>3.37</c:v>
                </c:pt>
                <c:pt idx="800">
                  <c:v>3.6880000000000002</c:v>
                </c:pt>
                <c:pt idx="801">
                  <c:v>3.4169999999999998</c:v>
                </c:pt>
                <c:pt idx="802">
                  <c:v>3.4649999999999999</c:v>
                </c:pt>
                <c:pt idx="803">
                  <c:v>3.1120000000000001</c:v>
                </c:pt>
                <c:pt idx="804">
                  <c:v>2.95</c:v>
                </c:pt>
                <c:pt idx="805">
                  <c:v>3.1669999999999998</c:v>
                </c:pt>
                <c:pt idx="806">
                  <c:v>2.927</c:v>
                </c:pt>
                <c:pt idx="807">
                  <c:v>3.0550000000000002</c:v>
                </c:pt>
                <c:pt idx="808">
                  <c:v>3.03</c:v>
                </c:pt>
                <c:pt idx="809">
                  <c:v>2.88</c:v>
                </c:pt>
                <c:pt idx="810">
                  <c:v>2.7269999999999999</c:v>
                </c:pt>
                <c:pt idx="811">
                  <c:v>2.7490000000000001</c:v>
                </c:pt>
                <c:pt idx="812">
                  <c:v>2.9169999999999998</c:v>
                </c:pt>
                <c:pt idx="813">
                  <c:v>3.18</c:v>
                </c:pt>
                <c:pt idx="814">
                  <c:v>4.01</c:v>
                </c:pt>
                <c:pt idx="815">
                  <c:v>4.83</c:v>
                </c:pt>
                <c:pt idx="816">
                  <c:v>4.3</c:v>
                </c:pt>
                <c:pt idx="817">
                  <c:v>4.5339999999999998</c:v>
                </c:pt>
                <c:pt idx="818">
                  <c:v>4.74</c:v>
                </c:pt>
                <c:pt idx="819">
                  <c:v>4.6459999999999999</c:v>
                </c:pt>
                <c:pt idx="820">
                  <c:v>4.03</c:v>
                </c:pt>
                <c:pt idx="821">
                  <c:v>3.927</c:v>
                </c:pt>
                <c:pt idx="822">
                  <c:v>4.0999999999999996</c:v>
                </c:pt>
                <c:pt idx="823">
                  <c:v>4.0810000000000004</c:v>
                </c:pt>
                <c:pt idx="824">
                  <c:v>3.7919999999999998</c:v>
                </c:pt>
                <c:pt idx="825">
                  <c:v>4.032</c:v>
                </c:pt>
                <c:pt idx="826">
                  <c:v>4.4710000000000001</c:v>
                </c:pt>
                <c:pt idx="827">
                  <c:v>4.4420000000000002</c:v>
                </c:pt>
                <c:pt idx="828">
                  <c:v>4.18</c:v>
                </c:pt>
                <c:pt idx="829">
                  <c:v>4.3</c:v>
                </c:pt>
                <c:pt idx="830">
                  <c:v>4.6500000000000004</c:v>
                </c:pt>
                <c:pt idx="831">
                  <c:v>4.657</c:v>
                </c:pt>
                <c:pt idx="832">
                  <c:v>4.423</c:v>
                </c:pt>
                <c:pt idx="833">
                  <c:v>4.6399999999999997</c:v>
                </c:pt>
                <c:pt idx="834">
                  <c:v>4.3579999999999997</c:v>
                </c:pt>
                <c:pt idx="835">
                  <c:v>4.5599999999999996</c:v>
                </c:pt>
                <c:pt idx="836">
                  <c:v>4.7560000000000002</c:v>
                </c:pt>
                <c:pt idx="837">
                  <c:v>4.6980000000000004</c:v>
                </c:pt>
                <c:pt idx="838">
                  <c:v>4.55</c:v>
                </c:pt>
                <c:pt idx="839">
                  <c:v>4.37</c:v>
                </c:pt>
                <c:pt idx="840">
                  <c:v>4.2460000000000004</c:v>
                </c:pt>
                <c:pt idx="841">
                  <c:v>4.46</c:v>
                </c:pt>
                <c:pt idx="842">
                  <c:v>4.7279999999999998</c:v>
                </c:pt>
                <c:pt idx="843">
                  <c:v>4.7370000000000001</c:v>
                </c:pt>
                <c:pt idx="844">
                  <c:v>4.95</c:v>
                </c:pt>
                <c:pt idx="845">
                  <c:v>4.7549999999999999</c:v>
                </c:pt>
                <c:pt idx="846">
                  <c:v>5.0199999999999996</c:v>
                </c:pt>
                <c:pt idx="847">
                  <c:v>5.22</c:v>
                </c:pt>
                <c:pt idx="848">
                  <c:v>5.2060000000000004</c:v>
                </c:pt>
                <c:pt idx="849">
                  <c:v>5.194</c:v>
                </c:pt>
                <c:pt idx="850">
                  <c:v>5.032</c:v>
                </c:pt>
                <c:pt idx="851">
                  <c:v>5.46</c:v>
                </c:pt>
                <c:pt idx="852">
                  <c:v>5.87</c:v>
                </c:pt>
                <c:pt idx="853">
                  <c:v>5.944</c:v>
                </c:pt>
                <c:pt idx="854">
                  <c:v>6.6020000000000003</c:v>
                </c:pt>
                <c:pt idx="855">
                  <c:v>6.9779999999999998</c:v>
                </c:pt>
                <c:pt idx="856">
                  <c:v>6.7619999999999996</c:v>
                </c:pt>
                <c:pt idx="857">
                  <c:v>6.62</c:v>
                </c:pt>
                <c:pt idx="858">
                  <c:v>6.4119999999999999</c:v>
                </c:pt>
                <c:pt idx="859">
                  <c:v>6.48</c:v>
                </c:pt>
                <c:pt idx="860">
                  <c:v>6.1159999999999997</c:v>
                </c:pt>
                <c:pt idx="861">
                  <c:v>6.5940000000000003</c:v>
                </c:pt>
                <c:pt idx="862">
                  <c:v>6.3540000000000001</c:v>
                </c:pt>
                <c:pt idx="863">
                  <c:v>6.2880000000000003</c:v>
                </c:pt>
                <c:pt idx="864">
                  <c:v>6.25</c:v>
                </c:pt>
                <c:pt idx="865">
                  <c:v>6.12</c:v>
                </c:pt>
                <c:pt idx="866">
                  <c:v>6.23</c:v>
                </c:pt>
                <c:pt idx="867">
                  <c:v>6.1260000000000003</c:v>
                </c:pt>
                <c:pt idx="868">
                  <c:v>6.2480000000000002</c:v>
                </c:pt>
                <c:pt idx="869">
                  <c:v>6.1639999999999997</c:v>
                </c:pt>
                <c:pt idx="870">
                  <c:v>6</c:v>
                </c:pt>
                <c:pt idx="871">
                  <c:v>5.7859999999999996</c:v>
                </c:pt>
                <c:pt idx="872">
                  <c:v>6.02</c:v>
                </c:pt>
                <c:pt idx="873">
                  <c:v>5.92</c:v>
                </c:pt>
                <c:pt idx="874">
                  <c:v>5.7919999999999998</c:v>
                </c:pt>
                <c:pt idx="875">
                  <c:v>5.9539999999999997</c:v>
                </c:pt>
                <c:pt idx="876">
                  <c:v>6.0279999999999996</c:v>
                </c:pt>
                <c:pt idx="877">
                  <c:v>5.94</c:v>
                </c:pt>
                <c:pt idx="878">
                  <c:v>5.84</c:v>
                </c:pt>
                <c:pt idx="879">
                  <c:v>5.6040000000000001</c:v>
                </c:pt>
                <c:pt idx="880">
                  <c:v>5.81</c:v>
                </c:pt>
                <c:pt idx="881">
                  <c:v>5.7119999999999997</c:v>
                </c:pt>
                <c:pt idx="882">
                  <c:v>5.9359999999999999</c:v>
                </c:pt>
                <c:pt idx="883">
                  <c:v>6.0179999999999998</c:v>
                </c:pt>
                <c:pt idx="884">
                  <c:v>6.258</c:v>
                </c:pt>
                <c:pt idx="885">
                  <c:v>6.11</c:v>
                </c:pt>
                <c:pt idx="886">
                  <c:v>6.2640000000000002</c:v>
                </c:pt>
                <c:pt idx="887">
                  <c:v>6.21</c:v>
                </c:pt>
                <c:pt idx="888">
                  <c:v>6.1859999999999999</c:v>
                </c:pt>
                <c:pt idx="889">
                  <c:v>6.0419999999999998</c:v>
                </c:pt>
                <c:pt idx="890">
                  <c:v>5.8719999999999999</c:v>
                </c:pt>
                <c:pt idx="891">
                  <c:v>5.8259999999999996</c:v>
                </c:pt>
                <c:pt idx="892">
                  <c:v>5.81</c:v>
                </c:pt>
                <c:pt idx="893">
                  <c:v>5.524</c:v>
                </c:pt>
                <c:pt idx="894">
                  <c:v>5.72</c:v>
                </c:pt>
                <c:pt idx="895">
                  <c:v>5.83</c:v>
                </c:pt>
                <c:pt idx="896">
                  <c:v>5.8120000000000003</c:v>
                </c:pt>
                <c:pt idx="897">
                  <c:v>6.29</c:v>
                </c:pt>
                <c:pt idx="898">
                  <c:v>6.2</c:v>
                </c:pt>
                <c:pt idx="899">
                  <c:v>5.8540000000000001</c:v>
                </c:pt>
                <c:pt idx="900">
                  <c:v>5.8479999999999999</c:v>
                </c:pt>
                <c:pt idx="901">
                  <c:v>5.89</c:v>
                </c:pt>
                <c:pt idx="902">
                  <c:v>5.8360000000000003</c:v>
                </c:pt>
                <c:pt idx="903">
                  <c:v>5.83</c:v>
                </c:pt>
                <c:pt idx="904">
                  <c:v>5.79</c:v>
                </c:pt>
                <c:pt idx="905">
                  <c:v>5.7779999999999996</c:v>
                </c:pt>
                <c:pt idx="906">
                  <c:v>5.8339999999999996</c:v>
                </c:pt>
                <c:pt idx="907">
                  <c:v>5.6719999999999997</c:v>
                </c:pt>
                <c:pt idx="908">
                  <c:v>5.6040000000000001</c:v>
                </c:pt>
                <c:pt idx="909">
                  <c:v>5.4219999999999997</c:v>
                </c:pt>
                <c:pt idx="910">
                  <c:v>5.5579999999999998</c:v>
                </c:pt>
                <c:pt idx="911">
                  <c:v>5.5780000000000003</c:v>
                </c:pt>
                <c:pt idx="912">
                  <c:v>5.5019999999999998</c:v>
                </c:pt>
                <c:pt idx="913">
                  <c:v>5.43</c:v>
                </c:pt>
                <c:pt idx="914">
                  <c:v>5.48</c:v>
                </c:pt>
                <c:pt idx="915">
                  <c:v>5.5339999999999998</c:v>
                </c:pt>
                <c:pt idx="916">
                  <c:v>5.5860000000000003</c:v>
                </c:pt>
                <c:pt idx="917">
                  <c:v>5.32</c:v>
                </c:pt>
                <c:pt idx="918">
                  <c:v>5.0599999999999996</c:v>
                </c:pt>
                <c:pt idx="919">
                  <c:v>4.95</c:v>
                </c:pt>
                <c:pt idx="920">
                  <c:v>4.8689999999999998</c:v>
                </c:pt>
                <c:pt idx="921">
                  <c:v>4.6130000000000004</c:v>
                </c:pt>
                <c:pt idx="922">
                  <c:v>4.71</c:v>
                </c:pt>
                <c:pt idx="923">
                  <c:v>4.7309999999999999</c:v>
                </c:pt>
                <c:pt idx="924">
                  <c:v>4.782</c:v>
                </c:pt>
                <c:pt idx="925">
                  <c:v>4.8109999999999999</c:v>
                </c:pt>
                <c:pt idx="926">
                  <c:v>4.8499999999999996</c:v>
                </c:pt>
                <c:pt idx="927">
                  <c:v>4.9980000000000002</c:v>
                </c:pt>
                <c:pt idx="928">
                  <c:v>5.1120000000000001</c:v>
                </c:pt>
                <c:pt idx="929">
                  <c:v>4.9850000000000003</c:v>
                </c:pt>
                <c:pt idx="930">
                  <c:v>4.7519999999999998</c:v>
                </c:pt>
                <c:pt idx="931">
                  <c:v>4.8419999999999996</c:v>
                </c:pt>
                <c:pt idx="932">
                  <c:v>4.7080000000000002</c:v>
                </c:pt>
                <c:pt idx="933">
                  <c:v>4.6100000000000003</c:v>
                </c:pt>
                <c:pt idx="934">
                  <c:v>4.6820000000000004</c:v>
                </c:pt>
                <c:pt idx="935">
                  <c:v>4.7759999999999998</c:v>
                </c:pt>
                <c:pt idx="936" formatCode="General">
                  <c:v>4.62</c:v>
                </c:pt>
                <c:pt idx="937" formatCode="General">
                  <c:v>4.6520000000000001</c:v>
                </c:pt>
                <c:pt idx="938" formatCode="General">
                  <c:v>4.4470000000000001</c:v>
                </c:pt>
                <c:pt idx="939" formatCode="General">
                  <c:v>4.66</c:v>
                </c:pt>
                <c:pt idx="940" formatCode="General">
                  <c:v>4.7469999999999999</c:v>
                </c:pt>
                <c:pt idx="941" formatCode="General">
                  <c:v>4.9160000000000004</c:v>
                </c:pt>
                <c:pt idx="942" formatCode="General">
                  <c:v>4.6900000000000004</c:v>
                </c:pt>
                <c:pt idx="943" formatCode="General">
                  <c:v>4.7850000000000001</c:v>
                </c:pt>
                <c:pt idx="944" formatCode="General">
                  <c:v>4.7050000000000001</c:v>
                </c:pt>
                <c:pt idx="945" formatCode="General">
                  <c:v>4.5599999999999996</c:v>
                </c:pt>
                <c:pt idx="946" formatCode="General">
                  <c:v>4.6349999999999998</c:v>
                </c:pt>
                <c:pt idx="947" formatCode="General">
                  <c:v>4.5999999999999996</c:v>
                </c:pt>
                <c:pt idx="948" formatCode="General">
                  <c:v>4.4989999999999997</c:v>
                </c:pt>
                <c:pt idx="949" formatCode="General">
                  <c:v>4.399</c:v>
                </c:pt>
                <c:pt idx="950" formatCode="General">
                  <c:v>4.4800000000000004</c:v>
                </c:pt>
                <c:pt idx="951" formatCode="General">
                  <c:v>4.33</c:v>
                </c:pt>
                <c:pt idx="952" formatCode="General">
                  <c:v>4.24</c:v>
                </c:pt>
                <c:pt idx="953" formatCode="General">
                  <c:v>4.2</c:v>
                </c:pt>
                <c:pt idx="954" formatCode="General">
                  <c:v>4.3659999999999997</c:v>
                </c:pt>
                <c:pt idx="955" formatCode="General">
                  <c:v>4.3760000000000003</c:v>
                </c:pt>
                <c:pt idx="956" formatCode="General">
                  <c:v>4.3499999999999996</c:v>
                </c:pt>
                <c:pt idx="957" formatCode="General">
                  <c:v>4.08</c:v>
                </c:pt>
                <c:pt idx="958" formatCode="General">
                  <c:v>3.871</c:v>
                </c:pt>
                <c:pt idx="959" formatCode="General">
                  <c:v>3.91</c:v>
                </c:pt>
                <c:pt idx="960" formatCode="General">
                  <c:v>4.09</c:v>
                </c:pt>
                <c:pt idx="961" formatCode="General">
                  <c:v>4.1500000000000004</c:v>
                </c:pt>
                <c:pt idx="962" formatCode="General">
                  <c:v>4.2480000000000002</c:v>
                </c:pt>
                <c:pt idx="963" formatCode="General">
                  <c:v>4.28</c:v>
                </c:pt>
                <c:pt idx="964" formatCode="General">
                  <c:v>4.3</c:v>
                </c:pt>
                <c:pt idx="965" formatCode="General">
                  <c:v>4.67</c:v>
                </c:pt>
                <c:pt idx="966" formatCode="General">
                  <c:v>5</c:v>
                </c:pt>
                <c:pt idx="967" formatCode="General">
                  <c:v>5.08</c:v>
                </c:pt>
                <c:pt idx="968" formatCode="General">
                  <c:v>4.9000000000000004</c:v>
                </c:pt>
                <c:pt idx="969" formatCode="General">
                  <c:v>5.1020000000000003</c:v>
                </c:pt>
                <c:pt idx="970" formatCode="General">
                  <c:v>5.3440000000000003</c:v>
                </c:pt>
                <c:pt idx="971" formatCode="General">
                  <c:v>5.298</c:v>
                </c:pt>
                <c:pt idx="972" formatCode="General">
                  <c:v>5.6520000000000001</c:v>
                </c:pt>
                <c:pt idx="973" formatCode="General">
                  <c:v>5.524</c:v>
                </c:pt>
                <c:pt idx="974" formatCode="General">
                  <c:v>5.7539999999999996</c:v>
                </c:pt>
                <c:pt idx="975" formatCode="General">
                  <c:v>6.0519999999999996</c:v>
                </c:pt>
                <c:pt idx="976" formatCode="General">
                  <c:v>6.4260000000000002</c:v>
                </c:pt>
                <c:pt idx="977" formatCode="General">
                  <c:v>6.26</c:v>
                </c:pt>
                <c:pt idx="978" formatCode="General">
                  <c:v>6.12</c:v>
                </c:pt>
                <c:pt idx="979" formatCode="General">
                  <c:v>6.0979999999999999</c:v>
                </c:pt>
                <c:pt idx="980" formatCode="General">
                  <c:v>6.03</c:v>
                </c:pt>
                <c:pt idx="981" formatCode="General">
                  <c:v>6.19</c:v>
                </c:pt>
                <c:pt idx="982" formatCode="General">
                  <c:v>6.16</c:v>
                </c:pt>
                <c:pt idx="983" formatCode="General">
                  <c:v>6.2619999999999996</c:v>
                </c:pt>
                <c:pt idx="984" formatCode="General">
                  <c:v>6.5</c:v>
                </c:pt>
                <c:pt idx="985" formatCode="General">
                  <c:v>6.36</c:v>
                </c:pt>
                <c:pt idx="986" formatCode="General">
                  <c:v>6.49</c:v>
                </c:pt>
                <c:pt idx="987" formatCode="General">
                  <c:v>6.4580000000000002</c:v>
                </c:pt>
                <c:pt idx="988" formatCode="General">
                  <c:v>6.78</c:v>
                </c:pt>
                <c:pt idx="989" formatCode="General">
                  <c:v>6.88</c:v>
                </c:pt>
                <c:pt idx="990" formatCode="General">
                  <c:v>6.7519999999999998</c:v>
                </c:pt>
                <c:pt idx="991" formatCode="General">
                  <c:v>6.7960000000000003</c:v>
                </c:pt>
                <c:pt idx="992" formatCode="General">
                  <c:v>7</c:v>
                </c:pt>
                <c:pt idx="993" formatCode="General">
                  <c:v>7.0839999999999996</c:v>
                </c:pt>
                <c:pt idx="994" formatCode="General">
                  <c:v>6.72</c:v>
                </c:pt>
                <c:pt idx="995" formatCode="General">
                  <c:v>6.68</c:v>
                </c:pt>
                <c:pt idx="996" formatCode="General">
                  <c:v>6.6260000000000003</c:v>
                </c:pt>
                <c:pt idx="997" formatCode="General">
                  <c:v>6.75</c:v>
                </c:pt>
                <c:pt idx="998" formatCode="General">
                  <c:v>7</c:v>
                </c:pt>
                <c:pt idx="999" formatCode="General">
                  <c:v>6.97</c:v>
                </c:pt>
                <c:pt idx="1000" formatCode="General">
                  <c:v>7.03</c:v>
                </c:pt>
                <c:pt idx="1001" formatCode="General">
                  <c:v>7.01</c:v>
                </c:pt>
                <c:pt idx="1002" formatCode="General">
                  <c:v>7.4</c:v>
                </c:pt>
                <c:pt idx="1003" formatCode="General">
                  <c:v>7.5620000000000003</c:v>
                </c:pt>
                <c:pt idx="1004" formatCode="General">
                  <c:v>7.8380000000000001</c:v>
                </c:pt>
                <c:pt idx="1005" formatCode="General">
                  <c:v>7.6459999999999999</c:v>
                </c:pt>
                <c:pt idx="1006" formatCode="General">
                  <c:v>7.67</c:v>
                </c:pt>
                <c:pt idx="1007" formatCode="General">
                  <c:v>8.08</c:v>
                </c:pt>
                <c:pt idx="1008" formatCode="General">
                  <c:v>8</c:v>
                </c:pt>
                <c:pt idx="1009" formatCode="General">
                  <c:v>7.89</c:v>
                </c:pt>
                <c:pt idx="1010" formatCode="General">
                  <c:v>7.6</c:v>
                </c:pt>
                <c:pt idx="1011" formatCode="General">
                  <c:v>8.2119999999999997</c:v>
                </c:pt>
                <c:pt idx="1012" formatCode="General">
                  <c:v>8.4</c:v>
                </c:pt>
                <c:pt idx="1013" formatCode="General">
                  <c:v>8.4</c:v>
                </c:pt>
                <c:pt idx="1014" formatCode="General">
                  <c:v>7.9160000000000004</c:v>
                </c:pt>
                <c:pt idx="1015" formatCode="General">
                  <c:v>7.61</c:v>
                </c:pt>
                <c:pt idx="1016" formatCode="General">
                  <c:v>6.984</c:v>
                </c:pt>
                <c:pt idx="1017" formatCode="General">
                  <c:v>7.1719999999999997</c:v>
                </c:pt>
                <c:pt idx="1018" formatCode="General">
                  <c:v>6.5</c:v>
                </c:pt>
                <c:pt idx="1019" formatCode="General">
                  <c:v>6.7</c:v>
                </c:pt>
                <c:pt idx="1020" formatCode="General">
                  <c:v>6.86</c:v>
                </c:pt>
                <c:pt idx="1021" formatCode="General">
                  <c:v>6.9539999999999997</c:v>
                </c:pt>
                <c:pt idx="1022" formatCode="General">
                  <c:v>7.36</c:v>
                </c:pt>
                <c:pt idx="1023" formatCode="General">
                  <c:v>7.226</c:v>
                </c:pt>
                <c:pt idx="1024" formatCode="General">
                  <c:v>7.35</c:v>
                </c:pt>
                <c:pt idx="1025" formatCode="General">
                  <c:v>7.468</c:v>
                </c:pt>
                <c:pt idx="1026" formatCode="General">
                  <c:v>7.6</c:v>
                </c:pt>
                <c:pt idx="1027" formatCode="General">
                  <c:v>7.56</c:v>
                </c:pt>
                <c:pt idx="1028" formatCode="General">
                  <c:v>7.49</c:v>
                </c:pt>
                <c:pt idx="1029" formatCode="General">
                  <c:v>7.75</c:v>
                </c:pt>
                <c:pt idx="1030" formatCode="General">
                  <c:v>7.98</c:v>
                </c:pt>
                <c:pt idx="1031" formatCode="General">
                  <c:v>7.8319999999999999</c:v>
                </c:pt>
                <c:pt idx="1032" formatCode="General">
                  <c:v>7.9960000000000004</c:v>
                </c:pt>
                <c:pt idx="1033" formatCode="General">
                  <c:v>8.1020000000000003</c:v>
                </c:pt>
                <c:pt idx="1034" formatCode="General">
                  <c:v>7.68</c:v>
                </c:pt>
                <c:pt idx="1035" formatCode="General">
                  <c:v>7.9</c:v>
                </c:pt>
                <c:pt idx="1036" formatCode="General">
                  <c:v>8.1620000000000008</c:v>
                </c:pt>
                <c:pt idx="1037" formatCode="General">
                  <c:v>8.01</c:v>
                </c:pt>
                <c:pt idx="1038" formatCode="General">
                  <c:v>8.4499999999999993</c:v>
                </c:pt>
                <c:pt idx="1039" formatCode="General">
                  <c:v>8.0500000000000007</c:v>
                </c:pt>
                <c:pt idx="1040" formatCode="General">
                  <c:v>8.2200000000000006</c:v>
                </c:pt>
                <c:pt idx="1041" formatCode="General">
                  <c:v>8.2200000000000006</c:v>
                </c:pt>
                <c:pt idx="1042" formatCode="General">
                  <c:v>8.3079999999999998</c:v>
                </c:pt>
                <c:pt idx="1043" formatCode="General">
                  <c:v>8.1999999999999993</c:v>
                </c:pt>
                <c:pt idx="1044" formatCode="General">
                  <c:v>8.4</c:v>
                </c:pt>
                <c:pt idx="1045" formatCode="General">
                  <c:v>9.11</c:v>
                </c:pt>
                <c:pt idx="1046" formatCode="General">
                  <c:v>9.1</c:v>
                </c:pt>
                <c:pt idx="1047" formatCode="General">
                  <c:v>9.1999999999999993</c:v>
                </c:pt>
                <c:pt idx="1048" formatCode="General">
                  <c:v>10.199999999999999</c:v>
                </c:pt>
                <c:pt idx="1049" formatCode="General">
                  <c:v>10.6</c:v>
                </c:pt>
                <c:pt idx="1050" formatCode="General">
                  <c:v>10.8</c:v>
                </c:pt>
                <c:pt idx="1051" formatCode="General">
                  <c:v>10.795</c:v>
                </c:pt>
                <c:pt idx="1052" formatCode="General">
                  <c:v>10.29</c:v>
                </c:pt>
                <c:pt idx="1053" formatCode="General">
                  <c:v>10.3</c:v>
                </c:pt>
                <c:pt idx="1054" formatCode="General">
                  <c:v>9.31</c:v>
                </c:pt>
                <c:pt idx="1055" formatCode="General">
                  <c:v>9.84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8F-4B71-99F6-EAA7332720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804392"/>
        <c:axId val="444805568"/>
      </c:lineChart>
      <c:dateAx>
        <c:axId val="444804392"/>
        <c:scaling>
          <c:orientation val="minMax"/>
        </c:scaling>
        <c:delete val="0"/>
        <c:axPos val="b"/>
        <c:numFmt formatCode="dd\.mm\.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444805568"/>
        <c:crosses val="autoZero"/>
        <c:auto val="0"/>
        <c:lblOffset val="100"/>
        <c:baseTimeUnit val="days"/>
      </c:dateAx>
      <c:valAx>
        <c:axId val="44480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###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444804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nb-N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b-NO"/>
              <a:t>Produksjon</a:t>
            </a:r>
            <a:r>
              <a:rPr lang="nb-NO" baseline="0"/>
              <a:t> DNO</a:t>
            </a:r>
            <a:endParaRPr lang="nb-NO"/>
          </a:p>
        </c:rich>
      </c:tx>
      <c:layout>
        <c:manualLayout>
          <c:xMode val="edge"/>
          <c:yMode val="edge"/>
          <c:x val="0.17101662292213476"/>
          <c:y val="4.30107607805832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title>
    <c:autoTitleDeleted val="0"/>
    <c:plotArea>
      <c:layout>
        <c:manualLayout>
          <c:layoutTarget val="inner"/>
          <c:xMode val="edge"/>
          <c:yMode val="edge"/>
          <c:x val="7.0460192475940514E-2"/>
          <c:y val="0.14358425640584699"/>
          <c:w val="0.91742265966754144"/>
          <c:h val="0.7650340577115603"/>
        </c:manualLayout>
      </c:layout>
      <c:lineChart>
        <c:grouping val="standard"/>
        <c:varyColors val="0"/>
        <c:ser>
          <c:idx val="0"/>
          <c:order val="0"/>
          <c:tx>
            <c:v>Estimert produksjon Tawke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Kurdistan!$A$5:$A$76</c:f>
              <c:numCache>
                <c:formatCode>mmm\-yy</c:formatCode>
                <c:ptCount val="7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  <c:pt idx="48">
                  <c:v>44197</c:v>
                </c:pt>
                <c:pt idx="49">
                  <c:v>44228</c:v>
                </c:pt>
                <c:pt idx="50">
                  <c:v>44256</c:v>
                </c:pt>
                <c:pt idx="51">
                  <c:v>44287</c:v>
                </c:pt>
                <c:pt idx="52">
                  <c:v>44317</c:v>
                </c:pt>
                <c:pt idx="53">
                  <c:v>44348</c:v>
                </c:pt>
                <c:pt idx="54">
                  <c:v>44378</c:v>
                </c:pt>
                <c:pt idx="55">
                  <c:v>44409</c:v>
                </c:pt>
                <c:pt idx="56">
                  <c:v>44440</c:v>
                </c:pt>
                <c:pt idx="57">
                  <c:v>44470</c:v>
                </c:pt>
                <c:pt idx="58">
                  <c:v>44501</c:v>
                </c:pt>
                <c:pt idx="59">
                  <c:v>44531</c:v>
                </c:pt>
                <c:pt idx="60">
                  <c:v>44562</c:v>
                </c:pt>
                <c:pt idx="61">
                  <c:v>44593</c:v>
                </c:pt>
                <c:pt idx="62">
                  <c:v>44621</c:v>
                </c:pt>
                <c:pt idx="63">
                  <c:v>44652</c:v>
                </c:pt>
                <c:pt idx="64">
                  <c:v>44682</c:v>
                </c:pt>
                <c:pt idx="65">
                  <c:v>44713</c:v>
                </c:pt>
                <c:pt idx="66">
                  <c:v>44743</c:v>
                </c:pt>
                <c:pt idx="67">
                  <c:v>44774</c:v>
                </c:pt>
                <c:pt idx="68">
                  <c:v>44805</c:v>
                </c:pt>
                <c:pt idx="69">
                  <c:v>44835</c:v>
                </c:pt>
                <c:pt idx="70">
                  <c:v>44866</c:v>
                </c:pt>
                <c:pt idx="71">
                  <c:v>44896</c:v>
                </c:pt>
              </c:numCache>
            </c:numRef>
          </c:cat>
          <c:val>
            <c:numRef>
              <c:f>Kurdistan!$H$5:$H$76</c:f>
              <c:numCache>
                <c:formatCode>0</c:formatCode>
                <c:ptCount val="72"/>
                <c:pt idx="0">
                  <c:v>107355.08</c:v>
                </c:pt>
                <c:pt idx="1">
                  <c:v>105207.97840000001</c:v>
                </c:pt>
                <c:pt idx="2">
                  <c:v>103103.818832</c:v>
                </c:pt>
                <c:pt idx="3">
                  <c:v>101041.74245536</c:v>
                </c:pt>
                <c:pt idx="4">
                  <c:v>101520.9076062528</c:v>
                </c:pt>
                <c:pt idx="5">
                  <c:v>100490.48945412775</c:v>
                </c:pt>
                <c:pt idx="6">
                  <c:v>103480.67966504519</c:v>
                </c:pt>
                <c:pt idx="7">
                  <c:v>101411.06607174428</c:v>
                </c:pt>
                <c:pt idx="8">
                  <c:v>101882.84475030939</c:v>
                </c:pt>
                <c:pt idx="9">
                  <c:v>100345.1878553032</c:v>
                </c:pt>
                <c:pt idx="10">
                  <c:v>101338.28409819714</c:v>
                </c:pt>
                <c:pt idx="11">
                  <c:v>106311.5184162332</c:v>
                </c:pt>
                <c:pt idx="12">
                  <c:v>104185.28804790854</c:v>
                </c:pt>
                <c:pt idx="13">
                  <c:v>102101.58228695038</c:v>
                </c:pt>
                <c:pt idx="14">
                  <c:v>100059.55064121136</c:v>
                </c:pt>
                <c:pt idx="15">
                  <c:v>100558.35962838713</c:v>
                </c:pt>
                <c:pt idx="16">
                  <c:v>98547.192435819394</c:v>
                </c:pt>
                <c:pt idx="17">
                  <c:v>96576.248587103008</c:v>
                </c:pt>
                <c:pt idx="18">
                  <c:v>94644.723615360941</c:v>
                </c:pt>
                <c:pt idx="19">
                  <c:v>106751.82914305372</c:v>
                </c:pt>
                <c:pt idx="20">
                  <c:v>111616.79256019264</c:v>
                </c:pt>
                <c:pt idx="21">
                  <c:v>117384.45670898879</c:v>
                </c:pt>
                <c:pt idx="22">
                  <c:v>115036.76757480901</c:v>
                </c:pt>
                <c:pt idx="23">
                  <c:v>115236.03222331282</c:v>
                </c:pt>
                <c:pt idx="24">
                  <c:v>119931.31157884657</c:v>
                </c:pt>
                <c:pt idx="25">
                  <c:v>127032.68534726964</c:v>
                </c:pt>
                <c:pt idx="26">
                  <c:v>124492.03164032425</c:v>
                </c:pt>
                <c:pt idx="27">
                  <c:v>122002.19100751776</c:v>
                </c:pt>
                <c:pt idx="28">
                  <c:v>129062.1471873674</c:v>
                </c:pt>
                <c:pt idx="29">
                  <c:v>126480.90424362005</c:v>
                </c:pt>
                <c:pt idx="30">
                  <c:v>123951.28615874765</c:v>
                </c:pt>
                <c:pt idx="31">
                  <c:v>121472.26043557269</c:v>
                </c:pt>
                <c:pt idx="32">
                  <c:v>122042.81522686125</c:v>
                </c:pt>
                <c:pt idx="33">
                  <c:v>127601.95892232402</c:v>
                </c:pt>
                <c:pt idx="34">
                  <c:v>128549.91974387754</c:v>
                </c:pt>
                <c:pt idx="35">
                  <c:v>129478.921349</c:v>
                </c:pt>
                <c:pt idx="36">
                  <c:v>129889.34292201999</c:v>
                </c:pt>
                <c:pt idx="37">
                  <c:v>127291.55606357958</c:v>
                </c:pt>
                <c:pt idx="38">
                  <c:v>124745.72494230799</c:v>
                </c:pt>
                <c:pt idx="39">
                  <c:v>122250.81044346183</c:v>
                </c:pt>
                <c:pt idx="40">
                  <c:v>119805.7942345926</c:v>
                </c:pt>
                <c:pt idx="41">
                  <c:v>117409.67834990074</c:v>
                </c:pt>
                <c:pt idx="42">
                  <c:v>115061.48478290273</c:v>
                </c:pt>
                <c:pt idx="43">
                  <c:v>112760.25508724467</c:v>
                </c:pt>
                <c:pt idx="44">
                  <c:v>110505.04998549978</c:v>
                </c:pt>
                <c:pt idx="45">
                  <c:v>108294.94898578979</c:v>
                </c:pt>
                <c:pt idx="46">
                  <c:v>106129.05000607399</c:v>
                </c:pt>
                <c:pt idx="47">
                  <c:v>104006.4690059525</c:v>
                </c:pt>
                <c:pt idx="48">
                  <c:v>108926.33962583345</c:v>
                </c:pt>
                <c:pt idx="49">
                  <c:v>106747.81283331678</c:v>
                </c:pt>
                <c:pt idx="50">
                  <c:v>104612.85657665045</c:v>
                </c:pt>
                <c:pt idx="51">
                  <c:v>102520.59944511743</c:v>
                </c:pt>
                <c:pt idx="52">
                  <c:v>107470.18745621509</c:v>
                </c:pt>
                <c:pt idx="53">
                  <c:v>107820.78370709078</c:v>
                </c:pt>
                <c:pt idx="54">
                  <c:v>108164.36803294897</c:v>
                </c:pt>
                <c:pt idx="55">
                  <c:v>106001.08067228999</c:v>
                </c:pt>
                <c:pt idx="56">
                  <c:v>106381.05905884418</c:v>
                </c:pt>
                <c:pt idx="57">
                  <c:v>113753.4378776673</c:v>
                </c:pt>
                <c:pt idx="58">
                  <c:v>111478.36912011394</c:v>
                </c:pt>
                <c:pt idx="59">
                  <c:v>111748.80173771166</c:v>
                </c:pt>
                <c:pt idx="60">
                  <c:v>112013.82570295743</c:v>
                </c:pt>
                <c:pt idx="61">
                  <c:v>112273.54918889828</c:v>
                </c:pt>
                <c:pt idx="62">
                  <c:v>110028.07820512031</c:v>
                </c:pt>
                <c:pt idx="63">
                  <c:v>107827.51664101791</c:v>
                </c:pt>
                <c:pt idx="64">
                  <c:v>105670.96630819755</c:v>
                </c:pt>
                <c:pt idx="65">
                  <c:v>103557.5469820336</c:v>
                </c:pt>
                <c:pt idx="66">
                  <c:v>101486.39604239292</c:v>
                </c:pt>
                <c:pt idx="67">
                  <c:v>99456.668121545066</c:v>
                </c:pt>
                <c:pt idx="68">
                  <c:v>97467.534759114162</c:v>
                </c:pt>
                <c:pt idx="69">
                  <c:v>95518.184063931883</c:v>
                </c:pt>
                <c:pt idx="70">
                  <c:v>93607.820382653241</c:v>
                </c:pt>
                <c:pt idx="71">
                  <c:v>91735.663975000178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BD-4012-B5C5-8F11300F1813}"/>
            </c:ext>
          </c:extLst>
        </c:ser>
        <c:ser>
          <c:idx val="1"/>
          <c:order val="1"/>
          <c:tx>
            <c:v>Reell produksjon Tawke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Kurdistan!$A$5:$A$76</c:f>
              <c:numCache>
                <c:formatCode>mmm\-yy</c:formatCode>
                <c:ptCount val="7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  <c:pt idx="48">
                  <c:v>44197</c:v>
                </c:pt>
                <c:pt idx="49">
                  <c:v>44228</c:v>
                </c:pt>
                <c:pt idx="50">
                  <c:v>44256</c:v>
                </c:pt>
                <c:pt idx="51">
                  <c:v>44287</c:v>
                </c:pt>
                <c:pt idx="52">
                  <c:v>44317</c:v>
                </c:pt>
                <c:pt idx="53">
                  <c:v>44348</c:v>
                </c:pt>
                <c:pt idx="54">
                  <c:v>44378</c:v>
                </c:pt>
                <c:pt idx="55">
                  <c:v>44409</c:v>
                </c:pt>
                <c:pt idx="56">
                  <c:v>44440</c:v>
                </c:pt>
                <c:pt idx="57">
                  <c:v>44470</c:v>
                </c:pt>
                <c:pt idx="58">
                  <c:v>44501</c:v>
                </c:pt>
                <c:pt idx="59">
                  <c:v>44531</c:v>
                </c:pt>
                <c:pt idx="60">
                  <c:v>44562</c:v>
                </c:pt>
                <c:pt idx="61">
                  <c:v>44593</c:v>
                </c:pt>
                <c:pt idx="62">
                  <c:v>44621</c:v>
                </c:pt>
                <c:pt idx="63">
                  <c:v>44652</c:v>
                </c:pt>
                <c:pt idx="64">
                  <c:v>44682</c:v>
                </c:pt>
                <c:pt idx="65">
                  <c:v>44713</c:v>
                </c:pt>
                <c:pt idx="66">
                  <c:v>44743</c:v>
                </c:pt>
                <c:pt idx="67">
                  <c:v>44774</c:v>
                </c:pt>
                <c:pt idx="68">
                  <c:v>44805</c:v>
                </c:pt>
                <c:pt idx="69">
                  <c:v>44835</c:v>
                </c:pt>
                <c:pt idx="70">
                  <c:v>44866</c:v>
                </c:pt>
                <c:pt idx="71">
                  <c:v>44896</c:v>
                </c:pt>
              </c:numCache>
            </c:numRef>
          </c:cat>
          <c:val>
            <c:numRef>
              <c:f>Kurdistan!$I$5:$I$76</c:f>
              <c:numCache>
                <c:formatCode>#,##0</c:formatCode>
                <c:ptCount val="72"/>
                <c:pt idx="0">
                  <c:v>112537</c:v>
                </c:pt>
                <c:pt idx="1">
                  <c:v>110641</c:v>
                </c:pt>
                <c:pt idx="2">
                  <c:v>108513</c:v>
                </c:pt>
                <c:pt idx="3">
                  <c:v>108519</c:v>
                </c:pt>
                <c:pt idx="4">
                  <c:v>107554.93465069894</c:v>
                </c:pt>
                <c:pt idx="5">
                  <c:v>105660.26573562216</c:v>
                </c:pt>
                <c:pt idx="6">
                  <c:v>112521.5053763441</c:v>
                </c:pt>
                <c:pt idx="7">
                  <c:v>108881.12456325669</c:v>
                </c:pt>
                <c:pt idx="8">
                  <c:v>107378.02944507361</c:v>
                </c:pt>
                <c:pt idx="9">
                  <c:v>105927.06788058602</c:v>
                </c:pt>
                <c:pt idx="10">
                  <c:v>105371.71554120707</c:v>
                </c:pt>
                <c:pt idx="11">
                  <c:v>110276.98353717674</c:v>
                </c:pt>
                <c:pt idx="12">
                  <c:v>107158.77904432366</c:v>
                </c:pt>
                <c:pt idx="13">
                  <c:v>102994.33171773599</c:v>
                </c:pt>
                <c:pt idx="14">
                  <c:v>113485.90883298658</c:v>
                </c:pt>
                <c:pt idx="15">
                  <c:v>101952.35941504598</c:v>
                </c:pt>
                <c:pt idx="16">
                  <c:v>100922.28478617618</c:v>
                </c:pt>
                <c:pt idx="17">
                  <c:v>105016.86799434105</c:v>
                </c:pt>
                <c:pt idx="18">
                  <c:v>109286.73248508526</c:v>
                </c:pt>
                <c:pt idx="19">
                  <c:v>113176.66061850592</c:v>
                </c:pt>
                <c:pt idx="20">
                  <c:v>116621.03234966029</c:v>
                </c:pt>
                <c:pt idx="21">
                  <c:v>126725.84763751342</c:v>
                </c:pt>
                <c:pt idx="22">
                  <c:v>127045.65030146427</c:v>
                </c:pt>
                <c:pt idx="23">
                  <c:v>127774.1738908219</c:v>
                </c:pt>
                <c:pt idx="24">
                  <c:v>128539.48463337193</c:v>
                </c:pt>
                <c:pt idx="25">
                  <c:v>126500</c:v>
                </c:pt>
                <c:pt idx="26">
                  <c:v>125240</c:v>
                </c:pt>
                <c:pt idx="27">
                  <c:v>125000</c:v>
                </c:pt>
                <c:pt idx="28">
                  <c:v>127000</c:v>
                </c:pt>
                <c:pt idx="29">
                  <c:v>127615</c:v>
                </c:pt>
                <c:pt idx="30">
                  <c:v>120800</c:v>
                </c:pt>
                <c:pt idx="31">
                  <c:v>119700</c:v>
                </c:pt>
                <c:pt idx="32">
                  <c:v>118800</c:v>
                </c:pt>
                <c:pt idx="33">
                  <c:v>122000</c:v>
                </c:pt>
                <c:pt idx="34">
                  <c:v>122850</c:v>
                </c:pt>
                <c:pt idx="35">
                  <c:v>123530</c:v>
                </c:pt>
                <c:pt idx="36">
                  <c:v>117000</c:v>
                </c:pt>
                <c:pt idx="37">
                  <c:v>115500</c:v>
                </c:pt>
                <c:pt idx="38">
                  <c:v>113120</c:v>
                </c:pt>
                <c:pt idx="39">
                  <c:v>107000</c:v>
                </c:pt>
                <c:pt idx="40">
                  <c:v>102000</c:v>
                </c:pt>
                <c:pt idx="41">
                  <c:v>97000</c:v>
                </c:pt>
                <c:pt idx="42">
                  <c:v>115000</c:v>
                </c:pt>
                <c:pt idx="43">
                  <c:v>113800</c:v>
                </c:pt>
                <c:pt idx="44">
                  <c:v>112300</c:v>
                </c:pt>
                <c:pt idx="45">
                  <c:v>111250</c:v>
                </c:pt>
                <c:pt idx="46">
                  <c:v>110160</c:v>
                </c:pt>
                <c:pt idx="47">
                  <c:v>109100</c:v>
                </c:pt>
                <c:pt idx="48">
                  <c:v>111500</c:v>
                </c:pt>
                <c:pt idx="49">
                  <c:v>112000</c:v>
                </c:pt>
                <c:pt idx="50">
                  <c:v>113100</c:v>
                </c:pt>
                <c:pt idx="51">
                  <c:v>115000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BD-4012-B5C5-8F11300F1813}"/>
            </c:ext>
          </c:extLst>
        </c:ser>
        <c:ser>
          <c:idx val="6"/>
          <c:order val="6"/>
          <c:tx>
            <c:v>Esimert Produksjon Norge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Kurdistan!$A$5:$A$76</c:f>
              <c:numCache>
                <c:formatCode>mmm\-yy</c:formatCode>
                <c:ptCount val="7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  <c:pt idx="48">
                  <c:v>44197</c:v>
                </c:pt>
                <c:pt idx="49">
                  <c:v>44228</c:v>
                </c:pt>
                <c:pt idx="50">
                  <c:v>44256</c:v>
                </c:pt>
                <c:pt idx="51">
                  <c:v>44287</c:v>
                </c:pt>
                <c:pt idx="52">
                  <c:v>44317</c:v>
                </c:pt>
                <c:pt idx="53">
                  <c:v>44348</c:v>
                </c:pt>
                <c:pt idx="54">
                  <c:v>44378</c:v>
                </c:pt>
                <c:pt idx="55">
                  <c:v>44409</c:v>
                </c:pt>
                <c:pt idx="56">
                  <c:v>44440</c:v>
                </c:pt>
                <c:pt idx="57">
                  <c:v>44470</c:v>
                </c:pt>
                <c:pt idx="58">
                  <c:v>44501</c:v>
                </c:pt>
                <c:pt idx="59">
                  <c:v>44531</c:v>
                </c:pt>
                <c:pt idx="60">
                  <c:v>44562</c:v>
                </c:pt>
                <c:pt idx="61">
                  <c:v>44593</c:v>
                </c:pt>
                <c:pt idx="62">
                  <c:v>44621</c:v>
                </c:pt>
                <c:pt idx="63">
                  <c:v>44652</c:v>
                </c:pt>
                <c:pt idx="64">
                  <c:v>44682</c:v>
                </c:pt>
                <c:pt idx="65">
                  <c:v>44713</c:v>
                </c:pt>
                <c:pt idx="66">
                  <c:v>44743</c:v>
                </c:pt>
                <c:pt idx="67">
                  <c:v>44774</c:v>
                </c:pt>
                <c:pt idx="68">
                  <c:v>44805</c:v>
                </c:pt>
                <c:pt idx="69">
                  <c:v>44835</c:v>
                </c:pt>
                <c:pt idx="70">
                  <c:v>44866</c:v>
                </c:pt>
                <c:pt idx="71">
                  <c:v>44896</c:v>
                </c:pt>
              </c:numCache>
            </c:numRef>
          </c:cat>
          <c:val>
            <c:numRef>
              <c:f>'Norge-UK'!$AB$5:$AB$76</c:f>
              <c:numCache>
                <c:formatCode>0</c:formatCode>
                <c:ptCount val="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18100</c:v>
                </c:pt>
                <c:pt idx="24">
                  <c:v>18006.022258892703</c:v>
                </c:pt>
                <c:pt idx="25">
                  <c:v>18826.908087220538</c:v>
                </c:pt>
                <c:pt idx="26">
                  <c:v>18436.406760416314</c:v>
                </c:pt>
                <c:pt idx="27">
                  <c:v>20305.388265701975</c:v>
                </c:pt>
                <c:pt idx="28">
                  <c:v>20382.249556004979</c:v>
                </c:pt>
                <c:pt idx="29">
                  <c:v>20300.720557780958</c:v>
                </c:pt>
                <c:pt idx="30">
                  <c:v>12773.402704078588</c:v>
                </c:pt>
                <c:pt idx="31">
                  <c:v>15872.323140869987</c:v>
                </c:pt>
                <c:pt idx="32">
                  <c:v>15409.141562511746</c:v>
                </c:pt>
                <c:pt idx="33">
                  <c:v>13167.12</c:v>
                </c:pt>
                <c:pt idx="34">
                  <c:v>16681.008000000002</c:v>
                </c:pt>
                <c:pt idx="35">
                  <c:v>18455.88</c:v>
                </c:pt>
                <c:pt idx="36">
                  <c:v>21561.407999999999</c:v>
                </c:pt>
                <c:pt idx="37">
                  <c:v>15396.168</c:v>
                </c:pt>
                <c:pt idx="38">
                  <c:v>19910.04</c:v>
                </c:pt>
                <c:pt idx="39">
                  <c:v>20378.16</c:v>
                </c:pt>
                <c:pt idx="40">
                  <c:v>19222.8</c:v>
                </c:pt>
                <c:pt idx="41">
                  <c:v>17529.599999999999</c:v>
                </c:pt>
                <c:pt idx="42">
                  <c:v>16434</c:v>
                </c:pt>
                <c:pt idx="43">
                  <c:v>19222.8</c:v>
                </c:pt>
                <c:pt idx="44">
                  <c:v>17928</c:v>
                </c:pt>
                <c:pt idx="45">
                  <c:v>15736.8</c:v>
                </c:pt>
                <c:pt idx="46">
                  <c:v>15418.08</c:v>
                </c:pt>
                <c:pt idx="47">
                  <c:v>13256.76</c:v>
                </c:pt>
                <c:pt idx="48">
                  <c:v>16289.54952346183</c:v>
                </c:pt>
                <c:pt idx="49">
                  <c:v>14555.02046352009</c:v>
                </c:pt>
                <c:pt idx="50">
                  <c:v>14296.981450369289</c:v>
                </c:pt>
                <c:pt idx="51">
                  <c:v>14047.524961177014</c:v>
                </c:pt>
                <c:pt idx="52">
                  <c:v>13806.346158763552</c:v>
                </c:pt>
                <c:pt idx="53">
                  <c:v>13573.151875083047</c:v>
                </c:pt>
                <c:pt idx="54">
                  <c:v>13347.660158627363</c:v>
                </c:pt>
                <c:pt idx="55">
                  <c:v>13129.599839577269</c:v>
                </c:pt>
                <c:pt idx="56">
                  <c:v>12918.710112001492</c:v>
                </c:pt>
                <c:pt idx="57">
                  <c:v>12714.740132431869</c:v>
                </c:pt>
                <c:pt idx="58">
                  <c:v>12517.448634169397</c:v>
                </c:pt>
                <c:pt idx="59">
                  <c:v>12326.603556701557</c:v>
                </c:pt>
                <c:pt idx="60">
                  <c:v>12141.981689635697</c:v>
                </c:pt>
                <c:pt idx="61">
                  <c:v>11963.368330576835</c:v>
                </c:pt>
                <c:pt idx="62">
                  <c:v>11790.556956400942</c:v>
                </c:pt>
                <c:pt idx="63">
                  <c:v>11623.348907396259</c:v>
                </c:pt>
                <c:pt idx="64">
                  <c:v>11461.553083766294</c:v>
                </c:pt>
                <c:pt idx="65">
                  <c:v>11304.985654007971</c:v>
                </c:pt>
                <c:pt idx="66">
                  <c:v>11153.469774697729</c:v>
                </c:pt>
                <c:pt idx="67">
                  <c:v>11006.835321236791</c:v>
                </c:pt>
                <c:pt idx="68">
                  <c:v>10864.918629124602</c:v>
                </c:pt>
                <c:pt idx="69">
                  <c:v>10727.562245346386</c:v>
                </c:pt>
                <c:pt idx="70">
                  <c:v>10594.614689477195</c:v>
                </c:pt>
                <c:pt idx="71">
                  <c:v>10465.930224120555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0A2-4502-85C0-F952C4B55B18}"/>
            </c:ext>
          </c:extLst>
        </c:ser>
        <c:ser>
          <c:idx val="7"/>
          <c:order val="7"/>
          <c:tx>
            <c:v>Reell produksjon Norge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'Norge-UK'!$AC$5:$AC$76</c:f>
              <c:numCache>
                <c:formatCode>General</c:formatCode>
                <c:ptCount val="72"/>
                <c:pt idx="24" formatCode="#,##0">
                  <c:v>18006.022258892703</c:v>
                </c:pt>
                <c:pt idx="25" formatCode="#,##0">
                  <c:v>18826.908087220538</c:v>
                </c:pt>
                <c:pt idx="26" formatCode="#,##0">
                  <c:v>18436.406760416314</c:v>
                </c:pt>
                <c:pt idx="27" formatCode="#,##0">
                  <c:v>20305.388265701975</c:v>
                </c:pt>
                <c:pt idx="28" formatCode="#,##0">
                  <c:v>20382.249556004979</c:v>
                </c:pt>
                <c:pt idx="29" formatCode="#,##0">
                  <c:v>12824.701510119065</c:v>
                </c:pt>
                <c:pt idx="30" formatCode="#,##0">
                  <c:v>15936.067410512034</c:v>
                </c:pt>
                <c:pt idx="31" formatCode="#,##0">
                  <c:v>15471.025665172436</c:v>
                </c:pt>
                <c:pt idx="32">
                  <c:v>13220</c:v>
                </c:pt>
                <c:pt idx="33">
                  <c:v>16748</c:v>
                </c:pt>
                <c:pt idx="34">
                  <c:v>18530</c:v>
                </c:pt>
                <c:pt idx="35">
                  <c:v>21648</c:v>
                </c:pt>
                <c:pt idx="36">
                  <c:v>15458</c:v>
                </c:pt>
                <c:pt idx="37">
                  <c:v>19990</c:v>
                </c:pt>
                <c:pt idx="38">
                  <c:v>20460</c:v>
                </c:pt>
                <c:pt idx="39" formatCode="0">
                  <c:v>19300</c:v>
                </c:pt>
                <c:pt idx="40" formatCode="0">
                  <c:v>17600</c:v>
                </c:pt>
                <c:pt idx="41" formatCode="0">
                  <c:v>16500</c:v>
                </c:pt>
                <c:pt idx="42" formatCode="0">
                  <c:v>19300</c:v>
                </c:pt>
                <c:pt idx="43" formatCode="0">
                  <c:v>18000</c:v>
                </c:pt>
                <c:pt idx="44" formatCode="0">
                  <c:v>15800</c:v>
                </c:pt>
                <c:pt idx="45" formatCode="0">
                  <c:v>15480</c:v>
                </c:pt>
                <c:pt idx="46" formatCode="0">
                  <c:v>13310</c:v>
                </c:pt>
                <c:pt idx="47" formatCode="0">
                  <c:v>17110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A7-4B91-BB08-ED5D666EB6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595392"/>
        <c:axId val="444595784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v>Estimert produksjon Erbil</c:v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Kurdistan!$A$5:$A$76</c15:sqref>
                        </c15:formulaRef>
                      </c:ext>
                    </c:extLst>
                    <c:numCache>
                      <c:formatCode>mmm\-yy</c:formatCode>
                      <c:ptCount val="72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  <c:pt idx="24">
                        <c:v>43466</c:v>
                      </c:pt>
                      <c:pt idx="25">
                        <c:v>43497</c:v>
                      </c:pt>
                      <c:pt idx="26">
                        <c:v>43525</c:v>
                      </c:pt>
                      <c:pt idx="27">
                        <c:v>43556</c:v>
                      </c:pt>
                      <c:pt idx="28">
                        <c:v>43586</c:v>
                      </c:pt>
                      <c:pt idx="29">
                        <c:v>43617</c:v>
                      </c:pt>
                      <c:pt idx="30">
                        <c:v>43647</c:v>
                      </c:pt>
                      <c:pt idx="31">
                        <c:v>43678</c:v>
                      </c:pt>
                      <c:pt idx="32">
                        <c:v>43709</c:v>
                      </c:pt>
                      <c:pt idx="33">
                        <c:v>43739</c:v>
                      </c:pt>
                      <c:pt idx="34">
                        <c:v>43770</c:v>
                      </c:pt>
                      <c:pt idx="35">
                        <c:v>43800</c:v>
                      </c:pt>
                      <c:pt idx="36">
                        <c:v>43831</c:v>
                      </c:pt>
                      <c:pt idx="37">
                        <c:v>43862</c:v>
                      </c:pt>
                      <c:pt idx="38">
                        <c:v>43891</c:v>
                      </c:pt>
                      <c:pt idx="39">
                        <c:v>43922</c:v>
                      </c:pt>
                      <c:pt idx="40">
                        <c:v>43952</c:v>
                      </c:pt>
                      <c:pt idx="41">
                        <c:v>43983</c:v>
                      </c:pt>
                      <c:pt idx="42">
                        <c:v>44013</c:v>
                      </c:pt>
                      <c:pt idx="43">
                        <c:v>44044</c:v>
                      </c:pt>
                      <c:pt idx="44">
                        <c:v>44075</c:v>
                      </c:pt>
                      <c:pt idx="45">
                        <c:v>44105</c:v>
                      </c:pt>
                      <c:pt idx="46">
                        <c:v>44136</c:v>
                      </c:pt>
                      <c:pt idx="47">
                        <c:v>44166</c:v>
                      </c:pt>
                      <c:pt idx="48">
                        <c:v>44197</c:v>
                      </c:pt>
                      <c:pt idx="49">
                        <c:v>44228</c:v>
                      </c:pt>
                      <c:pt idx="50">
                        <c:v>44256</c:v>
                      </c:pt>
                      <c:pt idx="51">
                        <c:v>44287</c:v>
                      </c:pt>
                      <c:pt idx="52">
                        <c:v>44317</c:v>
                      </c:pt>
                      <c:pt idx="53">
                        <c:v>44348</c:v>
                      </c:pt>
                      <c:pt idx="54">
                        <c:v>44378</c:v>
                      </c:pt>
                      <c:pt idx="55">
                        <c:v>44409</c:v>
                      </c:pt>
                      <c:pt idx="56">
                        <c:v>44440</c:v>
                      </c:pt>
                      <c:pt idx="57">
                        <c:v>44470</c:v>
                      </c:pt>
                      <c:pt idx="58">
                        <c:v>44501</c:v>
                      </c:pt>
                      <c:pt idx="59">
                        <c:v>44531</c:v>
                      </c:pt>
                      <c:pt idx="60">
                        <c:v>44562</c:v>
                      </c:pt>
                      <c:pt idx="61">
                        <c:v>44593</c:v>
                      </c:pt>
                      <c:pt idx="62">
                        <c:v>44621</c:v>
                      </c:pt>
                      <c:pt idx="63">
                        <c:v>44652</c:v>
                      </c:pt>
                      <c:pt idx="64">
                        <c:v>44682</c:v>
                      </c:pt>
                      <c:pt idx="65">
                        <c:v>44713</c:v>
                      </c:pt>
                      <c:pt idx="66">
                        <c:v>44743</c:v>
                      </c:pt>
                      <c:pt idx="67">
                        <c:v>44774</c:v>
                      </c:pt>
                      <c:pt idx="68">
                        <c:v>44805</c:v>
                      </c:pt>
                      <c:pt idx="69">
                        <c:v>44835</c:v>
                      </c:pt>
                      <c:pt idx="70">
                        <c:v>44866</c:v>
                      </c:pt>
                      <c:pt idx="71">
                        <c:v>44896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Kurdistan!$P$5:$P$52</c15:sqref>
                        </c15:formulaRef>
                      </c:ext>
                    </c:extLst>
                    <c:numCache>
                      <c:formatCode>0</c:formatCode>
                      <c:ptCount val="4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BEBD-4012-B5C5-8F11300F1813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v>Reell produksjon Erbil</c:v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Kurdistan!$A$5:$A$76</c15:sqref>
                        </c15:formulaRef>
                      </c:ext>
                    </c:extLst>
                    <c:numCache>
                      <c:formatCode>mmm\-yy</c:formatCode>
                      <c:ptCount val="72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  <c:pt idx="24">
                        <c:v>43466</c:v>
                      </c:pt>
                      <c:pt idx="25">
                        <c:v>43497</c:v>
                      </c:pt>
                      <c:pt idx="26">
                        <c:v>43525</c:v>
                      </c:pt>
                      <c:pt idx="27">
                        <c:v>43556</c:v>
                      </c:pt>
                      <c:pt idx="28">
                        <c:v>43586</c:v>
                      </c:pt>
                      <c:pt idx="29">
                        <c:v>43617</c:v>
                      </c:pt>
                      <c:pt idx="30">
                        <c:v>43647</c:v>
                      </c:pt>
                      <c:pt idx="31">
                        <c:v>43678</c:v>
                      </c:pt>
                      <c:pt idx="32">
                        <c:v>43709</c:v>
                      </c:pt>
                      <c:pt idx="33">
                        <c:v>43739</c:v>
                      </c:pt>
                      <c:pt idx="34">
                        <c:v>43770</c:v>
                      </c:pt>
                      <c:pt idx="35">
                        <c:v>43800</c:v>
                      </c:pt>
                      <c:pt idx="36">
                        <c:v>43831</c:v>
                      </c:pt>
                      <c:pt idx="37">
                        <c:v>43862</c:v>
                      </c:pt>
                      <c:pt idx="38">
                        <c:v>43891</c:v>
                      </c:pt>
                      <c:pt idx="39">
                        <c:v>43922</c:v>
                      </c:pt>
                      <c:pt idx="40">
                        <c:v>43952</c:v>
                      </c:pt>
                      <c:pt idx="41">
                        <c:v>43983</c:v>
                      </c:pt>
                      <c:pt idx="42">
                        <c:v>44013</c:v>
                      </c:pt>
                      <c:pt idx="43">
                        <c:v>44044</c:v>
                      </c:pt>
                      <c:pt idx="44">
                        <c:v>44075</c:v>
                      </c:pt>
                      <c:pt idx="45">
                        <c:v>44105</c:v>
                      </c:pt>
                      <c:pt idx="46">
                        <c:v>44136</c:v>
                      </c:pt>
                      <c:pt idx="47">
                        <c:v>44166</c:v>
                      </c:pt>
                      <c:pt idx="48">
                        <c:v>44197</c:v>
                      </c:pt>
                      <c:pt idx="49">
                        <c:v>44228</c:v>
                      </c:pt>
                      <c:pt idx="50">
                        <c:v>44256</c:v>
                      </c:pt>
                      <c:pt idx="51">
                        <c:v>44287</c:v>
                      </c:pt>
                      <c:pt idx="52">
                        <c:v>44317</c:v>
                      </c:pt>
                      <c:pt idx="53">
                        <c:v>44348</c:v>
                      </c:pt>
                      <c:pt idx="54">
                        <c:v>44378</c:v>
                      </c:pt>
                      <c:pt idx="55">
                        <c:v>44409</c:v>
                      </c:pt>
                      <c:pt idx="56">
                        <c:v>44440</c:v>
                      </c:pt>
                      <c:pt idx="57">
                        <c:v>44470</c:v>
                      </c:pt>
                      <c:pt idx="58">
                        <c:v>44501</c:v>
                      </c:pt>
                      <c:pt idx="59">
                        <c:v>44531</c:v>
                      </c:pt>
                      <c:pt idx="60">
                        <c:v>44562</c:v>
                      </c:pt>
                      <c:pt idx="61">
                        <c:v>44593</c:v>
                      </c:pt>
                      <c:pt idx="62">
                        <c:v>44621</c:v>
                      </c:pt>
                      <c:pt idx="63">
                        <c:v>44652</c:v>
                      </c:pt>
                      <c:pt idx="64">
                        <c:v>44682</c:v>
                      </c:pt>
                      <c:pt idx="65">
                        <c:v>44713</c:v>
                      </c:pt>
                      <c:pt idx="66">
                        <c:v>44743</c:v>
                      </c:pt>
                      <c:pt idx="67">
                        <c:v>44774</c:v>
                      </c:pt>
                      <c:pt idx="68">
                        <c:v>44805</c:v>
                      </c:pt>
                      <c:pt idx="69">
                        <c:v>44835</c:v>
                      </c:pt>
                      <c:pt idx="70">
                        <c:v>44866</c:v>
                      </c:pt>
                      <c:pt idx="71">
                        <c:v>44896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Kurdistan!$Q$5:$Q$52</c15:sqref>
                        </c15:formulaRef>
                      </c:ext>
                    </c:extLst>
                    <c:numCache>
                      <c:formatCode>General</c:formatCode>
                      <c:ptCount val="48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EBD-4012-B5C5-8F11300F1813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v>Estimert produksjon Oman</c:v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Kurdistan!$A$5:$A$76</c15:sqref>
                        </c15:formulaRef>
                      </c:ext>
                    </c:extLst>
                    <c:numCache>
                      <c:formatCode>mmm\-yy</c:formatCode>
                      <c:ptCount val="72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  <c:pt idx="24">
                        <c:v>43466</c:v>
                      </c:pt>
                      <c:pt idx="25">
                        <c:v>43497</c:v>
                      </c:pt>
                      <c:pt idx="26">
                        <c:v>43525</c:v>
                      </c:pt>
                      <c:pt idx="27">
                        <c:v>43556</c:v>
                      </c:pt>
                      <c:pt idx="28">
                        <c:v>43586</c:v>
                      </c:pt>
                      <c:pt idx="29">
                        <c:v>43617</c:v>
                      </c:pt>
                      <c:pt idx="30">
                        <c:v>43647</c:v>
                      </c:pt>
                      <c:pt idx="31">
                        <c:v>43678</c:v>
                      </c:pt>
                      <c:pt idx="32">
                        <c:v>43709</c:v>
                      </c:pt>
                      <c:pt idx="33">
                        <c:v>43739</c:v>
                      </c:pt>
                      <c:pt idx="34">
                        <c:v>43770</c:v>
                      </c:pt>
                      <c:pt idx="35">
                        <c:v>43800</c:v>
                      </c:pt>
                      <c:pt idx="36">
                        <c:v>43831</c:v>
                      </c:pt>
                      <c:pt idx="37">
                        <c:v>43862</c:v>
                      </c:pt>
                      <c:pt idx="38">
                        <c:v>43891</c:v>
                      </c:pt>
                      <c:pt idx="39">
                        <c:v>43922</c:v>
                      </c:pt>
                      <c:pt idx="40">
                        <c:v>43952</c:v>
                      </c:pt>
                      <c:pt idx="41">
                        <c:v>43983</c:v>
                      </c:pt>
                      <c:pt idx="42">
                        <c:v>44013</c:v>
                      </c:pt>
                      <c:pt idx="43">
                        <c:v>44044</c:v>
                      </c:pt>
                      <c:pt idx="44">
                        <c:v>44075</c:v>
                      </c:pt>
                      <c:pt idx="45">
                        <c:v>44105</c:v>
                      </c:pt>
                      <c:pt idx="46">
                        <c:v>44136</c:v>
                      </c:pt>
                      <c:pt idx="47">
                        <c:v>44166</c:v>
                      </c:pt>
                      <c:pt idx="48">
                        <c:v>44197</c:v>
                      </c:pt>
                      <c:pt idx="49">
                        <c:v>44228</c:v>
                      </c:pt>
                      <c:pt idx="50">
                        <c:v>44256</c:v>
                      </c:pt>
                      <c:pt idx="51">
                        <c:v>44287</c:v>
                      </c:pt>
                      <c:pt idx="52">
                        <c:v>44317</c:v>
                      </c:pt>
                      <c:pt idx="53">
                        <c:v>44348</c:v>
                      </c:pt>
                      <c:pt idx="54">
                        <c:v>44378</c:v>
                      </c:pt>
                      <c:pt idx="55">
                        <c:v>44409</c:v>
                      </c:pt>
                      <c:pt idx="56">
                        <c:v>44440</c:v>
                      </c:pt>
                      <c:pt idx="57">
                        <c:v>44470</c:v>
                      </c:pt>
                      <c:pt idx="58">
                        <c:v>44501</c:v>
                      </c:pt>
                      <c:pt idx="59">
                        <c:v>44531</c:v>
                      </c:pt>
                      <c:pt idx="60">
                        <c:v>44562</c:v>
                      </c:pt>
                      <c:pt idx="61">
                        <c:v>44593</c:v>
                      </c:pt>
                      <c:pt idx="62">
                        <c:v>44621</c:v>
                      </c:pt>
                      <c:pt idx="63">
                        <c:v>44652</c:v>
                      </c:pt>
                      <c:pt idx="64">
                        <c:v>44682</c:v>
                      </c:pt>
                      <c:pt idx="65">
                        <c:v>44713</c:v>
                      </c:pt>
                      <c:pt idx="66">
                        <c:v>44743</c:v>
                      </c:pt>
                      <c:pt idx="67">
                        <c:v>44774</c:v>
                      </c:pt>
                      <c:pt idx="68">
                        <c:v>44805</c:v>
                      </c:pt>
                      <c:pt idx="69">
                        <c:v>44835</c:v>
                      </c:pt>
                      <c:pt idx="70">
                        <c:v>44866</c:v>
                      </c:pt>
                      <c:pt idx="71">
                        <c:v>44896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Oman!$G$5:$G$52</c15:sqref>
                        </c15:formulaRef>
                      </c:ext>
                    </c:extLst>
                    <c:numCache>
                      <c:formatCode>0</c:formatCode>
                      <c:ptCount val="48"/>
                      <c:pt idx="0">
                        <c:v>4756.8</c:v>
                      </c:pt>
                      <c:pt idx="1">
                        <c:v>4713.9888000000001</c:v>
                      </c:pt>
                      <c:pt idx="2">
                        <c:v>4671.5629008000005</c:v>
                      </c:pt>
                      <c:pt idx="3">
                        <c:v>4629.5188346928007</c:v>
                      </c:pt>
                      <c:pt idx="4">
                        <c:v>4587.8531651805652</c:v>
                      </c:pt>
                      <c:pt idx="5">
                        <c:v>4546.5624866939397</c:v>
                      </c:pt>
                      <c:pt idx="6">
                        <c:v>4505.6434243136946</c:v>
                      </c:pt>
                      <c:pt idx="7">
                        <c:v>4465.0926334948717</c:v>
                      </c:pt>
                      <c:pt idx="8">
                        <c:v>4424.906799793418</c:v>
                      </c:pt>
                      <c:pt idx="9">
                        <c:v>4385.0826385952769</c:v>
                      </c:pt>
                      <c:pt idx="10">
                        <c:v>4345.616894847919</c:v>
                      </c:pt>
                      <c:pt idx="11">
                        <c:v>4306.5063427942878</c:v>
                      </c:pt>
                      <c:pt idx="12">
                        <c:v>4267.747785709139</c:v>
                      </c:pt>
                      <c:pt idx="13">
                        <c:v>4229.338055637757</c:v>
                      </c:pt>
                      <c:pt idx="14">
                        <c:v>4191.2740131370174</c:v>
                      </c:pt>
                      <c:pt idx="15">
                        <c:v>4153.552547018784</c:v>
                      </c:pt>
                      <c:pt idx="16">
                        <c:v>4116.1705740956149</c:v>
                      </c:pt>
                      <c:pt idx="17">
                        <c:v>4079.1250389287543</c:v>
                      </c:pt>
                      <c:pt idx="18">
                        <c:v>4042.4129135783955</c:v>
                      </c:pt>
                      <c:pt idx="19">
                        <c:v>4006.0311973561902</c:v>
                      </c:pt>
                      <c:pt idx="20">
                        <c:v>3969.9769165799844</c:v>
                      </c:pt>
                      <c:pt idx="21">
                        <c:v>3934.2471243307646</c:v>
                      </c:pt>
                      <c:pt idx="22">
                        <c:v>3898.8389002117879</c:v>
                      </c:pt>
                      <c:pt idx="23">
                        <c:v>3863.7493501098816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EBD-4012-B5C5-8F11300F1813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v>Reell produksjon Oman!$H$5:$H$52Oman</c:v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Kurdistan!$A$5:$A$76</c15:sqref>
                        </c15:formulaRef>
                      </c:ext>
                    </c:extLst>
                    <c:numCache>
                      <c:formatCode>mmm\-yy</c:formatCode>
                      <c:ptCount val="72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  <c:pt idx="24">
                        <c:v>43466</c:v>
                      </c:pt>
                      <c:pt idx="25">
                        <c:v>43497</c:v>
                      </c:pt>
                      <c:pt idx="26">
                        <c:v>43525</c:v>
                      </c:pt>
                      <c:pt idx="27">
                        <c:v>43556</c:v>
                      </c:pt>
                      <c:pt idx="28">
                        <c:v>43586</c:v>
                      </c:pt>
                      <c:pt idx="29">
                        <c:v>43617</c:v>
                      </c:pt>
                      <c:pt idx="30">
                        <c:v>43647</c:v>
                      </c:pt>
                      <c:pt idx="31">
                        <c:v>43678</c:v>
                      </c:pt>
                      <c:pt idx="32">
                        <c:v>43709</c:v>
                      </c:pt>
                      <c:pt idx="33">
                        <c:v>43739</c:v>
                      </c:pt>
                      <c:pt idx="34">
                        <c:v>43770</c:v>
                      </c:pt>
                      <c:pt idx="35">
                        <c:v>43800</c:v>
                      </c:pt>
                      <c:pt idx="36">
                        <c:v>43831</c:v>
                      </c:pt>
                      <c:pt idx="37">
                        <c:v>43862</c:v>
                      </c:pt>
                      <c:pt idx="38">
                        <c:v>43891</c:v>
                      </c:pt>
                      <c:pt idx="39">
                        <c:v>43922</c:v>
                      </c:pt>
                      <c:pt idx="40">
                        <c:v>43952</c:v>
                      </c:pt>
                      <c:pt idx="41">
                        <c:v>43983</c:v>
                      </c:pt>
                      <c:pt idx="42">
                        <c:v>44013</c:v>
                      </c:pt>
                      <c:pt idx="43">
                        <c:v>44044</c:v>
                      </c:pt>
                      <c:pt idx="44">
                        <c:v>44075</c:v>
                      </c:pt>
                      <c:pt idx="45">
                        <c:v>44105</c:v>
                      </c:pt>
                      <c:pt idx="46">
                        <c:v>44136</c:v>
                      </c:pt>
                      <c:pt idx="47">
                        <c:v>44166</c:v>
                      </c:pt>
                      <c:pt idx="48">
                        <c:v>44197</c:v>
                      </c:pt>
                      <c:pt idx="49">
                        <c:v>44228</c:v>
                      </c:pt>
                      <c:pt idx="50">
                        <c:v>44256</c:v>
                      </c:pt>
                      <c:pt idx="51">
                        <c:v>44287</c:v>
                      </c:pt>
                      <c:pt idx="52">
                        <c:v>44317</c:v>
                      </c:pt>
                      <c:pt idx="53">
                        <c:v>44348</c:v>
                      </c:pt>
                      <c:pt idx="54">
                        <c:v>44378</c:v>
                      </c:pt>
                      <c:pt idx="55">
                        <c:v>44409</c:v>
                      </c:pt>
                      <c:pt idx="56">
                        <c:v>44440</c:v>
                      </c:pt>
                      <c:pt idx="57">
                        <c:v>44470</c:v>
                      </c:pt>
                      <c:pt idx="58">
                        <c:v>44501</c:v>
                      </c:pt>
                      <c:pt idx="59">
                        <c:v>44531</c:v>
                      </c:pt>
                      <c:pt idx="60">
                        <c:v>44562</c:v>
                      </c:pt>
                      <c:pt idx="61">
                        <c:v>44593</c:v>
                      </c:pt>
                      <c:pt idx="62">
                        <c:v>44621</c:v>
                      </c:pt>
                      <c:pt idx="63">
                        <c:v>44652</c:v>
                      </c:pt>
                      <c:pt idx="64">
                        <c:v>44682</c:v>
                      </c:pt>
                      <c:pt idx="65">
                        <c:v>44713</c:v>
                      </c:pt>
                      <c:pt idx="66">
                        <c:v>44743</c:v>
                      </c:pt>
                      <c:pt idx="67">
                        <c:v>44774</c:v>
                      </c:pt>
                      <c:pt idx="68">
                        <c:v>44805</c:v>
                      </c:pt>
                      <c:pt idx="69">
                        <c:v>44835</c:v>
                      </c:pt>
                      <c:pt idx="70">
                        <c:v>44866</c:v>
                      </c:pt>
                      <c:pt idx="71">
                        <c:v>44896</c:v>
                      </c:pt>
                    </c:numCache>
                  </c:numRef>
                </c:cat>
                <c:val>
                  <c:numLit>
                    <c:formatCode>General</c:formatCode>
                    <c:ptCount val="1"/>
                    <c:pt idx="0">
                      <c:v>1</c:v>
                    </c:pt>
                  </c:numLit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BEBD-4012-B5C5-8F11300F1813}"/>
                  </c:ext>
                </c:extLst>
              </c15:ser>
            </c15:filteredLineSeries>
          </c:ext>
        </c:extLst>
      </c:lineChart>
      <c:dateAx>
        <c:axId val="444595392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444595784"/>
        <c:crosses val="autoZero"/>
        <c:auto val="1"/>
        <c:lblOffset val="100"/>
        <c:baseTimeUnit val="months"/>
      </c:dateAx>
      <c:valAx>
        <c:axId val="444595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b-NO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444595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2232729658792653"/>
          <c:y val="2.0119101801353113E-2"/>
          <c:w val="9.7691621034680293E-2"/>
          <c:h val="0.130058713759046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2</xdr:row>
      <xdr:rowOff>19049</xdr:rowOff>
    </xdr:from>
    <xdr:to>
      <xdr:col>28</xdr:col>
      <xdr:colOff>9524</xdr:colOff>
      <xdr:row>37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40BC07B-A75E-48CD-A775-C34D8E05B2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95250</xdr:rowOff>
    </xdr:from>
    <xdr:to>
      <xdr:col>27</xdr:col>
      <xdr:colOff>352425</xdr:colOff>
      <xdr:row>37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1</xdr:row>
      <xdr:rowOff>95250</xdr:rowOff>
    </xdr:from>
    <xdr:to>
      <xdr:col>28</xdr:col>
      <xdr:colOff>276224</xdr:colOff>
      <xdr:row>36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eia.gov/dnav/pet/hist/LeafHandler.ashx?n=PET&amp;s=RBRTE&amp;f=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factpages.npd.no/ReportServer?/FactPages/PageView/licence&amp;rs:Command=Render&amp;rc:Toolbar=false&amp;rc:Parameters=f&amp;NpdId=20916&amp;IpAddress=80.254.154.67&amp;CultureCode=nb-no" TargetMode="External"/><Relationship Id="rId13" Type="http://schemas.openxmlformats.org/officeDocument/2006/relationships/hyperlink" Target="http://factpages.npd.no/ReportServer?/FactPages/PageView/licence&amp;rs:Command=Render&amp;rc:Toolbar=false&amp;rc:Parameters=f&amp;NpdId=48207&amp;IpAddress=80.254.154.99&amp;CultureCode=en" TargetMode="External"/><Relationship Id="rId18" Type="http://schemas.openxmlformats.org/officeDocument/2006/relationships/hyperlink" Target="http://factpages.npd.no/ReportServer?/FactPages/PageView/licence&amp;rs:Command=Render&amp;rc:Toolbar=false&amp;rc:Parameters=f&amp;NpdId=30977515&amp;IpAddress=80.254.154.67&amp;CultureCode=en" TargetMode="External"/><Relationship Id="rId26" Type="http://schemas.openxmlformats.org/officeDocument/2006/relationships/hyperlink" Target="http://factpages.npd.no/ReportServer?/FactPages/PageView/licence&amp;rs:Command=Render&amp;rc:Toolbar=false&amp;rc:Parameters=f&amp;NpdId=2819945&amp;IpAddress=80.254.154.67&amp;CultureCode=en" TargetMode="External"/><Relationship Id="rId3" Type="http://schemas.openxmlformats.org/officeDocument/2006/relationships/hyperlink" Target="http://factpages.npd.no/FactPages/default.aspx?nav1=licence&amp;nav2=PageView|All&amp;nav3=28225653" TargetMode="External"/><Relationship Id="rId21" Type="http://schemas.openxmlformats.org/officeDocument/2006/relationships/hyperlink" Target="http://factpages.npd.no/ReportServer?/FactPages/PageView/licence&amp;rs:Command=Render&amp;rc:Toolbar=false&amp;rc:Parameters=f&amp;NpdId=21788&amp;IpAddress=80.254.154.67&amp;CultureCode=en" TargetMode="External"/><Relationship Id="rId34" Type="http://schemas.openxmlformats.org/officeDocument/2006/relationships/hyperlink" Target="http://factpages.npd.no/ReportServer?/FactPages/PageView/licence&amp;rs:Command=Render&amp;rc:Toolbar=false&amp;rc:Parameters=f&amp;NpdId=20109200&amp;IpAddress=80.254.154.99&amp;CultureCode=en" TargetMode="External"/><Relationship Id="rId7" Type="http://schemas.openxmlformats.org/officeDocument/2006/relationships/hyperlink" Target="http://factpages.npd.no/ReportServer?/FactPages/PageView/licence&amp;rs:Command=Render&amp;rc:Toolbar=false&amp;rc:Parameters=f&amp;NpdId=34041810&amp;IpAddress=80.254.154.67&amp;CultureCode=nb-no" TargetMode="External"/><Relationship Id="rId12" Type="http://schemas.openxmlformats.org/officeDocument/2006/relationships/hyperlink" Target="http://factpages.npd.no/ReportServer?/FactPages/PageView/licence&amp;rs:Command=Render&amp;rc:Toolbar=false&amp;rc:Parameters=f&amp;NpdId=3489553&amp;IpAddress=80.254.154.99&amp;CultureCode=nb-no" TargetMode="External"/><Relationship Id="rId17" Type="http://schemas.openxmlformats.org/officeDocument/2006/relationships/hyperlink" Target="http://factpages.npd.no/ReportServer?/FactPages/PageView/licence&amp;rs:Command=Render&amp;rc:Toolbar=false&amp;rc:Parameters=f&amp;NpdId=21316&amp;IpAddress=80.254.154.67&amp;CultureCode=en" TargetMode="External"/><Relationship Id="rId25" Type="http://schemas.openxmlformats.org/officeDocument/2006/relationships/hyperlink" Target="http://factpages.npd.no/ReportServer?/FactPages/PageView/licence&amp;rs:Command=Render&amp;rc:Toolbar=false&amp;rc:Parameters=f&amp;NpdId=21988&amp;IpAddress=80.254.154.67&amp;CultureCode=en" TargetMode="External"/><Relationship Id="rId33" Type="http://schemas.openxmlformats.org/officeDocument/2006/relationships/hyperlink" Target="http://factpages.npd.no/ReportServer?/FactPages/PageView/licence&amp;rs:Command=Render&amp;rc:Toolbar=false&amp;rc:Parameters=f&amp;NpdId=4238654&amp;IpAddress=80.254.154.99&amp;CultureCode=en" TargetMode="External"/><Relationship Id="rId2" Type="http://schemas.openxmlformats.org/officeDocument/2006/relationships/hyperlink" Target="http://factpages.npd.no/FactPages/default.aspx?nav1=licence&amp;nav2=PageView|All&amp;nav3=28225653" TargetMode="External"/><Relationship Id="rId16" Type="http://schemas.openxmlformats.org/officeDocument/2006/relationships/hyperlink" Target="http://factpages.npd.no/ReportServer?/FactPages/PageView/licence&amp;rs:Command=Render&amp;rc:Toolbar=false&amp;rc:Parameters=f&amp;NpdId=22813096&amp;IpAddress=80.254.154.67&amp;CultureCode=en" TargetMode="External"/><Relationship Id="rId20" Type="http://schemas.openxmlformats.org/officeDocument/2006/relationships/hyperlink" Target="http://factpages.npd.no/ReportServer?/FactPages/PageView/licence&amp;rs:Command=Render&amp;rc:Toolbar=false&amp;rc:Parameters=f&amp;NpdId=34040259&amp;IpAddress=80.254.154.67&amp;CultureCode=en" TargetMode="External"/><Relationship Id="rId29" Type="http://schemas.openxmlformats.org/officeDocument/2006/relationships/hyperlink" Target="http://factpages.npd.no/ReportServer?/FactPages/PageView/licence&amp;rs:Command=Render&amp;rc:Toolbar=false&amp;rc:Parameters=f&amp;NpdId=2060266&amp;IpAddress=80.254.154.99&amp;CultureCode=en" TargetMode="External"/><Relationship Id="rId1" Type="http://schemas.openxmlformats.org/officeDocument/2006/relationships/hyperlink" Target="http://factpages.npd.no/FactPages/default.aspx?nav1=licence&amp;nav2=PageView|All&amp;nav3=27160027" TargetMode="External"/><Relationship Id="rId6" Type="http://schemas.openxmlformats.org/officeDocument/2006/relationships/hyperlink" Target="http://factpages.npd.no/ReportServer?/FactPages/PageView/licence&amp;rs:Command=Render&amp;rc:Toolbar=false&amp;rc:Parameters=f&amp;NpdId=30977683&amp;IpAddress=80.254.154.67&amp;CultureCode=nb-no" TargetMode="External"/><Relationship Id="rId11" Type="http://schemas.openxmlformats.org/officeDocument/2006/relationships/hyperlink" Target="http://factpages.npd.no/ReportServer?/FactPages/PageView/licence&amp;rs:Command=Render&amp;rc:Toolbar=false&amp;rc:Parameters=f&amp;NpdId=5081703&amp;IpAddress=80.254.154.67&amp;CultureCode=nb-no" TargetMode="External"/><Relationship Id="rId24" Type="http://schemas.openxmlformats.org/officeDocument/2006/relationships/hyperlink" Target="http://factpages.npd.no/ReportServer?/FactPages/PageView/licence&amp;rs:Command=Render&amp;rc:Toolbar=false&amp;rc:Parameters=f&amp;NpdId=3811939&amp;IpAddress=80.254.154.67&amp;CultureCode=en" TargetMode="External"/><Relationship Id="rId32" Type="http://schemas.openxmlformats.org/officeDocument/2006/relationships/hyperlink" Target="http://factpages.npd.no/ReportServer?/FactPages/PageView/licence&amp;rs:Command=Render&amp;rc:Toolbar=false&amp;rc:Parameters=f&amp;NpdId=4237284&amp;IpAddress=80.254.154.99&amp;CultureCode=en" TargetMode="External"/><Relationship Id="rId5" Type="http://schemas.openxmlformats.org/officeDocument/2006/relationships/hyperlink" Target="http://factpages.npd.no/ReportServer?/FactPages/PageView/licence&amp;rs:Command=Render&amp;rc:Toolbar=false&amp;rc:Parameters=f&amp;NpdId=1333089&amp;IpAddress=80.254.154.67&amp;CultureCode=nb-no" TargetMode="External"/><Relationship Id="rId15" Type="http://schemas.openxmlformats.org/officeDocument/2006/relationships/hyperlink" Target="http://factpages.npd.no/ReportServer?/FactPages/PageView/licence&amp;rs:Command=Render&amp;rc:Toolbar=false&amp;rc:Parameters=f&amp;NpdId=102499&amp;IpAddress=80.254.154.67&amp;CultureCode=en" TargetMode="External"/><Relationship Id="rId23" Type="http://schemas.openxmlformats.org/officeDocument/2006/relationships/hyperlink" Target="http://factpages.npd.no/ReportServer?/FactPages/PageView/licence&amp;rs:Command=Render&amp;rc:Toolbar=false&amp;rc:Parameters=f&amp;NpdId=2987454&amp;IpAddress=80.254.154.67&amp;CultureCode=en" TargetMode="External"/><Relationship Id="rId28" Type="http://schemas.openxmlformats.org/officeDocument/2006/relationships/hyperlink" Target="http://factpages.npd.no/ReportServer?/FactPages/PageView/licence&amp;rs:Command=Render&amp;rc:Toolbar=false&amp;rc:Parameters=f&amp;NpdId=22292&amp;IpAddress=80.254.154.99&amp;CultureCode=en" TargetMode="External"/><Relationship Id="rId10" Type="http://schemas.openxmlformats.org/officeDocument/2006/relationships/hyperlink" Target="http://factpages.npd.no/ReportServer?/FactPages/PageView/licence&amp;rs:Command=Render&amp;rc:Toolbar=false&amp;rc:Parameters=f&amp;NpdId=34041830&amp;IpAddress=80.254.154.67&amp;CultureCode=nb-no" TargetMode="External"/><Relationship Id="rId19" Type="http://schemas.openxmlformats.org/officeDocument/2006/relationships/hyperlink" Target="http://factpages.npd.no/ReportServer?/FactPages/PageView/licence&amp;rs:Command=Render&amp;rc:Toolbar=false&amp;rc:Parameters=f&amp;NpdId=34040194&amp;IpAddress=80.254.154.67&amp;CultureCode=en" TargetMode="External"/><Relationship Id="rId31" Type="http://schemas.openxmlformats.org/officeDocument/2006/relationships/hyperlink" Target="http://factpages.npd.no/ReportServer?/FactPages/PageView/licence&amp;rs:Command=Render&amp;rc:Toolbar=false&amp;rc:Parameters=f&amp;NpdId=2490354&amp;IpAddress=80.254.154.99&amp;CultureCode=en" TargetMode="External"/><Relationship Id="rId4" Type="http://schemas.openxmlformats.org/officeDocument/2006/relationships/hyperlink" Target="http://factpages.npd.no/ReportServer?/FactPages/PageView/licence&amp;rs:Command=Render&amp;rc:Toolbar=false&amp;rc:Parameters=f&amp;NpdId=21695786&amp;IpAddress=80.254.154.67&amp;CultureCode=nb-no" TargetMode="External"/><Relationship Id="rId9" Type="http://schemas.openxmlformats.org/officeDocument/2006/relationships/hyperlink" Target="http://factpages.npd.no/ReportServer?/FactPages/PageView/licence&amp;rs:Command=Render&amp;rc:Toolbar=false&amp;rc:Parameters=f&amp;NpdId=30978084&amp;IpAddress=80.254.154.67&amp;CultureCode=nb-no" TargetMode="External"/><Relationship Id="rId14" Type="http://schemas.openxmlformats.org/officeDocument/2006/relationships/hyperlink" Target="http://factpages.npd.no/ReportServer?/FactPages/PageView/licence&amp;rs:Command=Render&amp;rc:Toolbar=false&amp;rc:Parameters=f&amp;NpdId=21236&amp;IpAddress=80.254.154.67&amp;CultureCode=en" TargetMode="External"/><Relationship Id="rId22" Type="http://schemas.openxmlformats.org/officeDocument/2006/relationships/hyperlink" Target="http://factpages.npd.no/ReportServer?/FactPages/PageView/licence&amp;rs:Command=Render&amp;rc:Toolbar=false&amp;rc:Parameters=f&amp;NpdId=2134110&amp;IpAddress=80.254.154.67&amp;CultureCode=en" TargetMode="External"/><Relationship Id="rId27" Type="http://schemas.openxmlformats.org/officeDocument/2006/relationships/hyperlink" Target="http://factpages.npd.no/ReportServer?/FactPages/PageView/licence&amp;rs:Command=Render&amp;rc:Toolbar=false&amp;rc:Parameters=f&amp;NpdId=21124742&amp;IpAddress=80.254.154.99&amp;CultureCode=en" TargetMode="External"/><Relationship Id="rId30" Type="http://schemas.openxmlformats.org/officeDocument/2006/relationships/hyperlink" Target="http://factpages.npd.no/ReportServer?/FactPages/PageView/licence&amp;rs:Command=Render&amp;rc:Toolbar=false&amp;rc:Parameters=f&amp;NpdId=4909658&amp;IpAddress=80.254.154.99&amp;CultureCode=en" TargetMode="External"/><Relationship Id="rId35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7"/>
  <sheetViews>
    <sheetView tabSelected="1" workbookViewId="0">
      <pane ySplit="3" topLeftCell="A48" activePane="bottomLeft" state="frozen"/>
      <selection pane="bottomLeft" activeCell="D53" sqref="D53"/>
    </sheetView>
  </sheetViews>
  <sheetFormatPr defaultRowHeight="15" x14ac:dyDescent="0.25"/>
  <cols>
    <col min="2" max="2" width="1.140625" customWidth="1"/>
    <col min="3" max="3" width="10.85546875" customWidth="1"/>
    <col min="4" max="4" width="11" customWidth="1"/>
    <col min="5" max="6" width="8" customWidth="1"/>
    <col min="7" max="7" width="9.28515625" customWidth="1"/>
    <col min="8" max="8" width="11" customWidth="1"/>
    <col min="9" max="9" width="12.42578125" customWidth="1"/>
    <col min="10" max="10" width="11.7109375" customWidth="1"/>
    <col min="11" max="11" width="12.7109375" customWidth="1"/>
    <col min="12" max="12" width="16.28515625" customWidth="1"/>
    <col min="13" max="13" width="15.140625" customWidth="1"/>
    <col min="14" max="14" width="15" customWidth="1"/>
    <col min="15" max="15" width="14.42578125" customWidth="1"/>
    <col min="16" max="16" width="12.5703125" customWidth="1"/>
    <col min="17" max="17" width="14.140625" customWidth="1"/>
    <col min="18" max="18" width="11.28515625" customWidth="1"/>
    <col min="19" max="19" width="12.140625" customWidth="1"/>
    <col min="20" max="20" width="11" customWidth="1"/>
    <col min="21" max="21" width="10.85546875" hidden="1" customWidth="1"/>
    <col min="22" max="22" width="14.85546875" customWidth="1"/>
    <col min="23" max="23" width="10.42578125" customWidth="1"/>
    <col min="24" max="24" width="13.140625" customWidth="1"/>
  </cols>
  <sheetData>
    <row r="1" spans="1:24" x14ac:dyDescent="0.25">
      <c r="A1" t="s">
        <v>5</v>
      </c>
    </row>
    <row r="2" spans="1:24" x14ac:dyDescent="0.25">
      <c r="R2" s="36" t="s">
        <v>56</v>
      </c>
      <c r="S2" s="36"/>
      <c r="T2" s="36"/>
      <c r="U2" s="36"/>
    </row>
    <row r="3" spans="1:24" ht="54" customHeight="1" x14ac:dyDescent="0.25">
      <c r="C3" s="17" t="s">
        <v>29</v>
      </c>
      <c r="D3" s="17" t="s">
        <v>71</v>
      </c>
      <c r="E3" s="17" t="s">
        <v>0</v>
      </c>
      <c r="F3" s="17" t="s">
        <v>72</v>
      </c>
      <c r="G3" s="17" t="s">
        <v>239</v>
      </c>
      <c r="H3" s="17" t="s">
        <v>238</v>
      </c>
      <c r="I3" s="17" t="s">
        <v>1</v>
      </c>
      <c r="J3" s="17" t="s">
        <v>70</v>
      </c>
      <c r="K3" s="17" t="s">
        <v>2</v>
      </c>
      <c r="L3" s="17" t="s">
        <v>44</v>
      </c>
      <c r="M3" t="s">
        <v>39</v>
      </c>
      <c r="N3" s="17" t="s">
        <v>45</v>
      </c>
      <c r="O3" s="17" t="s">
        <v>46</v>
      </c>
      <c r="P3" s="17" t="s">
        <v>60</v>
      </c>
      <c r="Q3" s="17" t="s">
        <v>225</v>
      </c>
      <c r="R3" s="17" t="s">
        <v>53</v>
      </c>
      <c r="S3" s="17" t="s">
        <v>48</v>
      </c>
      <c r="T3" s="17" t="s">
        <v>51</v>
      </c>
      <c r="U3" s="17" t="s">
        <v>52</v>
      </c>
      <c r="V3" s="35" t="s">
        <v>237</v>
      </c>
      <c r="W3" s="35" t="s">
        <v>240</v>
      </c>
      <c r="X3" s="35" t="s">
        <v>241</v>
      </c>
    </row>
    <row r="4" spans="1:24" x14ac:dyDescent="0.25">
      <c r="A4" s="1">
        <v>42736</v>
      </c>
      <c r="C4" s="8">
        <f>Kurdistan!R5</f>
        <v>112537</v>
      </c>
      <c r="D4" s="8">
        <f>Oman!G5</f>
        <v>4756.8</v>
      </c>
      <c r="E4">
        <f>Oljepris!B4-12</f>
        <v>42.58</v>
      </c>
      <c r="F4">
        <f>Oljepris!B4-5</f>
        <v>49.58</v>
      </c>
      <c r="H4" s="2">
        <f>C4*E4*Oljepris!D4*0.05*0.71</f>
        <v>5273403.9187299991</v>
      </c>
      <c r="I4" s="2">
        <f>C4*E4*Oljepris!D4*0.71*0.31-H4</f>
        <v>27421700.377395999</v>
      </c>
      <c r="J4" s="2">
        <f>D4*F4*Oljepris!D4*0.5*0.45</f>
        <v>1644998.9543999999</v>
      </c>
      <c r="K4" s="2">
        <f>I4+J4</f>
        <v>29066699.331795998</v>
      </c>
    </row>
    <row r="5" spans="1:24" x14ac:dyDescent="0.25">
      <c r="A5" s="1">
        <v>42767</v>
      </c>
      <c r="C5" s="8">
        <f>Kurdistan!R6</f>
        <v>110641</v>
      </c>
      <c r="D5" s="8">
        <f>Oman!G6</f>
        <v>4713.9888000000001</v>
      </c>
      <c r="E5">
        <f>Oljepris!B5-12</f>
        <v>42.87</v>
      </c>
      <c r="F5">
        <f>Oljepris!B5-5</f>
        <v>49.87</v>
      </c>
      <c r="H5" s="2">
        <f>C5*E5*Oljepris!D5*0.05*0.71</f>
        <v>4714720.5919799991</v>
      </c>
      <c r="I5" s="2">
        <f>C5*E5*Oljepris!D5*0.71*0.31-H5</f>
        <v>24516547.078295995</v>
      </c>
      <c r="J5" s="2">
        <f>D5*F5*Oljepris!D5*0.5*0.45</f>
        <v>1481045.7151728</v>
      </c>
      <c r="K5" s="2">
        <f t="shared" ref="K5:K10" si="0">I5+J5</f>
        <v>25997592.793468796</v>
      </c>
    </row>
    <row r="6" spans="1:24" x14ac:dyDescent="0.25">
      <c r="A6" s="1">
        <v>42795</v>
      </c>
      <c r="C6" s="8">
        <f>Kurdistan!R7</f>
        <v>108513</v>
      </c>
      <c r="D6" s="8">
        <f>Oman!G7</f>
        <v>4671.5629008000005</v>
      </c>
      <c r="E6">
        <f>Oljepris!B6-12</f>
        <v>39.9</v>
      </c>
      <c r="F6">
        <f>Oljepris!B6-5</f>
        <v>46.9</v>
      </c>
      <c r="H6" s="2">
        <f>C6*E6*Oljepris!D6*0.05*0.71</f>
        <v>4764800.4043500004</v>
      </c>
      <c r="I6" s="2">
        <f>C6*E6*Oljepris!D6*0.71*0.31-H6</f>
        <v>24776962.102620002</v>
      </c>
      <c r="J6" s="2">
        <f>D6*F6*Oljepris!D6*0.5*0.45</f>
        <v>1528196.6928314522</v>
      </c>
      <c r="K6" s="2">
        <f t="shared" si="0"/>
        <v>26305158.795451455</v>
      </c>
      <c r="L6" s="2">
        <v>77100000</v>
      </c>
    </row>
    <row r="7" spans="1:24" x14ac:dyDescent="0.25">
      <c r="A7" s="1">
        <v>42826</v>
      </c>
      <c r="C7" s="8">
        <f>Kurdistan!R8</f>
        <v>108519</v>
      </c>
      <c r="D7" s="8">
        <f>Oman!G8</f>
        <v>4629.5188346928007</v>
      </c>
      <c r="E7">
        <f>Oljepris!B7-12</f>
        <v>40.31</v>
      </c>
      <c r="F7">
        <f>Oljepris!B7-5</f>
        <v>47.31</v>
      </c>
      <c r="H7" s="2">
        <f>C7*E7*Oljepris!D7*0.05*0.71</f>
        <v>4658736.9478500001</v>
      </c>
      <c r="I7" s="2">
        <f>C7*E7*Oljepris!D7*0.71*0.31-H7</f>
        <v>24225432.128820002</v>
      </c>
      <c r="J7" s="2">
        <f>D7*F7*Oljepris!D7*0.5*0.45</f>
        <v>1478402.1184678858</v>
      </c>
      <c r="K7" s="2">
        <f t="shared" si="0"/>
        <v>25703834.247287888</v>
      </c>
    </row>
    <row r="8" spans="1:24" x14ac:dyDescent="0.25">
      <c r="A8" s="1">
        <v>42856</v>
      </c>
      <c r="C8" s="8">
        <f>Kurdistan!R9</f>
        <v>107554.93465069894</v>
      </c>
      <c r="D8" s="8">
        <f>Oman!G9</f>
        <v>4587.8531651805652</v>
      </c>
      <c r="E8">
        <f>Oljepris!B8-12</f>
        <v>38.33</v>
      </c>
      <c r="F8">
        <f>Oljepris!B8-5</f>
        <v>45.33</v>
      </c>
      <c r="G8" s="18">
        <v>6390000</v>
      </c>
      <c r="H8" s="2">
        <f>C8*E8*Oljepris!D8*0.05*0.71</f>
        <v>4536900</v>
      </c>
      <c r="I8" s="2">
        <f>C8*E8*Oljepris!D8*0.71*0.31-H8</f>
        <v>23591880</v>
      </c>
      <c r="J8" s="2">
        <f>D8*F8*Oljepris!D8*0.5*0.45</f>
        <v>1450572.5032440042</v>
      </c>
      <c r="K8" s="2">
        <f t="shared" si="0"/>
        <v>25042452.503244005</v>
      </c>
      <c r="O8" s="2"/>
    </row>
    <row r="9" spans="1:24" x14ac:dyDescent="0.25">
      <c r="A9" s="1">
        <v>42887</v>
      </c>
      <c r="C9" s="8">
        <f>Kurdistan!R10</f>
        <v>105660.26573562216</v>
      </c>
      <c r="D9" s="8">
        <f>Oman!G10</f>
        <v>4546.5624866939397</v>
      </c>
      <c r="E9">
        <f>Oljepris!B9-12</f>
        <v>34.369999999999997</v>
      </c>
      <c r="F9">
        <f>Oljepris!B9-5</f>
        <v>41.37</v>
      </c>
      <c r="G9" s="18">
        <v>5447315</v>
      </c>
      <c r="H9" s="2">
        <f>C9*E9*Oljepris!D9*0.05*0.71</f>
        <v>3867593.65</v>
      </c>
      <c r="I9" s="2">
        <f>C9*E9*Oljepris!D9*0.71*0.31-H9</f>
        <v>20111486.98</v>
      </c>
      <c r="J9" s="2">
        <f>D9*F9*Oljepris!D9*0.5*0.45</f>
        <v>1269616.208003066</v>
      </c>
      <c r="K9" s="2">
        <f t="shared" si="0"/>
        <v>21381103.188003067</v>
      </c>
      <c r="L9" s="2">
        <f>SUM(I4:I6)+SUM(J7:J9)</f>
        <v>80913800.388026953</v>
      </c>
      <c r="M9" s="2">
        <f>SUM(H4:H6)</f>
        <v>14752924.915059999</v>
      </c>
      <c r="N9" s="19">
        <f>L9</f>
        <v>80913800.388026953</v>
      </c>
      <c r="O9" s="2">
        <v>81700000</v>
      </c>
    </row>
    <row r="10" spans="1:24" x14ac:dyDescent="0.25">
      <c r="A10" s="1">
        <v>42917</v>
      </c>
      <c r="C10" s="8">
        <f>Kurdistan!R11</f>
        <v>112521.5053763441</v>
      </c>
      <c r="D10" s="8">
        <f>Oman!G11</f>
        <v>4505.6434243136946</v>
      </c>
      <c r="E10">
        <f>Oljepris!B10-12</f>
        <v>36.479999999999997</v>
      </c>
      <c r="F10">
        <f>Oljepris!B10-5</f>
        <v>43.48</v>
      </c>
      <c r="G10" s="18">
        <v>6362416</v>
      </c>
      <c r="H10" s="2">
        <f>C10*E10*Oljepris!D10*0.05*0.71</f>
        <v>4517315.3599999994</v>
      </c>
      <c r="I10" s="2">
        <f>C10*E10*Oljepris!D10*0.71*0.31-H10</f>
        <v>23490039.871999998</v>
      </c>
      <c r="J10" s="2">
        <f>D10*F10*Oljepris!D10*0.5*0.45</f>
        <v>1366439.998221887</v>
      </c>
      <c r="K10" s="2">
        <f t="shared" si="0"/>
        <v>24856479.870221883</v>
      </c>
      <c r="N10" s="2"/>
      <c r="O10" s="2"/>
    </row>
    <row r="11" spans="1:24" x14ac:dyDescent="0.25">
      <c r="A11" s="1">
        <v>42948</v>
      </c>
      <c r="C11" s="8">
        <f>Kurdistan!R12</f>
        <v>108881.12456325669</v>
      </c>
      <c r="D11" s="8">
        <f>Oman!G12</f>
        <v>4465.0926334948717</v>
      </c>
      <c r="E11">
        <f>Oljepris!B11-12</f>
        <v>39.700000000000003</v>
      </c>
      <c r="F11">
        <f>Oljepris!B11-5</f>
        <v>46.7</v>
      </c>
      <c r="G11" s="18">
        <v>4020000</v>
      </c>
      <c r="H11" s="2">
        <f>Kurdistan!H12*E11*Oljepris!D11*0.03</f>
        <v>3744197.970434871</v>
      </c>
      <c r="I11" s="2">
        <f>(C11*E11*Oljepris!D11*0.71*0.3107-H11)*1.3666</f>
        <v>35279872.320403703</v>
      </c>
      <c r="J11" s="2">
        <f>D11*F11*Oljepris!D11*0.5*0.45</f>
        <v>1454425.7862398685</v>
      </c>
      <c r="K11" s="2">
        <f>IF(G11&lt;&gt;0,G11+I11+J11,H11+I11+J11)</f>
        <v>40754298.106643572</v>
      </c>
      <c r="N11" s="2"/>
      <c r="O11" s="2"/>
    </row>
    <row r="12" spans="1:24" x14ac:dyDescent="0.25">
      <c r="A12" s="1">
        <v>42979</v>
      </c>
      <c r="C12" s="8">
        <f>Kurdistan!R13</f>
        <v>107378.02944507361</v>
      </c>
      <c r="D12" s="8">
        <f>Oman!G13</f>
        <v>4424.906799793418</v>
      </c>
      <c r="E12">
        <f>Oljepris!B12-12</f>
        <v>44.15</v>
      </c>
      <c r="F12">
        <f>Oljepris!B12-5</f>
        <v>51.15</v>
      </c>
      <c r="G12" s="18">
        <v>4266666</v>
      </c>
      <c r="H12" s="2">
        <f>Kurdistan!H13*E12*Oljepris!D12*0.03</f>
        <v>4048314.8361535431</v>
      </c>
      <c r="I12" s="2">
        <f>(C12*E12*Oljepris!D12*0.71*0.3375-H12)*1.3666</f>
        <v>41041293.667767577</v>
      </c>
      <c r="J12" s="2">
        <f>D12*F12*Oljepris!D12*0.5*0.45</f>
        <v>1527754.383963675</v>
      </c>
      <c r="K12" s="2">
        <f t="shared" ref="K12:K75" si="1">IF(G12&lt;&gt;0,G12+I12+J12,H12+I12+J12)</f>
        <v>46835714.051731251</v>
      </c>
      <c r="L12" s="2">
        <f>SUM(I7:I9)+SUM(J10:J12)</f>
        <v>72277419.277245432</v>
      </c>
      <c r="M12" s="2">
        <f>SUM(H7:H9)</f>
        <v>13063230.59785</v>
      </c>
      <c r="N12" s="2">
        <f>L12</f>
        <v>72277419.277245432</v>
      </c>
      <c r="O12" s="2">
        <v>73000000</v>
      </c>
      <c r="R12" s="2">
        <f>SUM(C10:C12)/3</f>
        <v>109593.5531282248</v>
      </c>
      <c r="S12" s="2">
        <v>109755</v>
      </c>
      <c r="T12" s="2"/>
      <c r="U12" s="2"/>
    </row>
    <row r="13" spans="1:24" x14ac:dyDescent="0.25">
      <c r="A13" s="1">
        <v>43009</v>
      </c>
      <c r="C13" s="8">
        <f>Kurdistan!R14</f>
        <v>105927.06788058602</v>
      </c>
      <c r="D13" s="8">
        <f>Oman!G14</f>
        <v>4385.0826385952769</v>
      </c>
      <c r="E13">
        <f>Oljepris!B13-13.2</f>
        <v>44.31</v>
      </c>
      <c r="F13">
        <f>Oljepris!B13-5</f>
        <v>52.51</v>
      </c>
      <c r="G13" s="18">
        <v>4370000</v>
      </c>
      <c r="H13" s="2">
        <f>Kurdistan!H14*E13*Oljepris!D13*0.03</f>
        <v>4135054.6046976917</v>
      </c>
      <c r="I13" s="2">
        <f>(C13*E13*Oljepris!D13*0.71*0.33-H13)*1.3666</f>
        <v>40938110.656891018</v>
      </c>
      <c r="J13" s="2">
        <f>D13*F13*Oljepris!D13*0.5*0.45</f>
        <v>1606068.3082346499</v>
      </c>
      <c r="K13" s="2">
        <f t="shared" si="1"/>
        <v>46914178.965125665</v>
      </c>
      <c r="N13" s="2">
        <f t="shared" ref="N13:N51" si="2">L13+M13</f>
        <v>0</v>
      </c>
      <c r="O13" s="2"/>
      <c r="T13" s="2"/>
      <c r="U13" s="2"/>
    </row>
    <row r="14" spans="1:24" x14ac:dyDescent="0.25">
      <c r="A14" s="1">
        <v>43040</v>
      </c>
      <c r="C14" s="8">
        <f>Kurdistan!R15</f>
        <v>105371.71554120707</v>
      </c>
      <c r="D14" s="8">
        <f>Oman!G15</f>
        <v>4345.616894847919</v>
      </c>
      <c r="E14">
        <f>Oljepris!B14-12</f>
        <v>50.71</v>
      </c>
      <c r="F14">
        <f>Oljepris!B14-5</f>
        <v>57.71</v>
      </c>
      <c r="G14" s="18">
        <v>4700000</v>
      </c>
      <c r="H14" s="2">
        <f>Kurdistan!H15*E14*Oljepris!D14*0.03</f>
        <v>4624977.9479576191</v>
      </c>
      <c r="I14" s="2">
        <f>(C14*E14*Oljepris!D14*0.71*0.3078-H14)*1.3666</f>
        <v>41554340.849786006</v>
      </c>
      <c r="J14" s="2">
        <f>D14*F14*Oljepris!D14*0.5*0.45</f>
        <v>1692802.4692612956</v>
      </c>
      <c r="K14" s="2">
        <f t="shared" si="1"/>
        <v>47947143.319047302</v>
      </c>
      <c r="N14" s="2">
        <f t="shared" si="2"/>
        <v>0</v>
      </c>
      <c r="O14" s="2"/>
      <c r="T14" s="2"/>
      <c r="U14" s="2"/>
    </row>
    <row r="15" spans="1:24" x14ac:dyDescent="0.25">
      <c r="A15" s="1">
        <v>43070</v>
      </c>
      <c r="C15" s="8">
        <f>Kurdistan!R16</f>
        <v>110276.98353717674</v>
      </c>
      <c r="D15" s="8">
        <f>Oman!G16</f>
        <v>4306.5063427942878</v>
      </c>
      <c r="E15">
        <f>Oljepris!B15-13.2</f>
        <v>51.17</v>
      </c>
      <c r="F15">
        <f>Oljepris!B15-5</f>
        <v>59.370000000000005</v>
      </c>
      <c r="G15" s="18">
        <v>5253000</v>
      </c>
      <c r="H15" s="2">
        <f>Kurdistan!H16*E15*Oljepris!D15*0.03</f>
        <v>5059163.1695435476</v>
      </c>
      <c r="I15" s="2">
        <f>(C15*E15*Oljepris!D15*0.71*0.32-H15)*1.3666</f>
        <v>47400140.658730589</v>
      </c>
      <c r="J15" s="2">
        <f>D15*F15*Oljepris!D15*0.5*0.45</f>
        <v>1783349.0389625859</v>
      </c>
      <c r="K15" s="2">
        <f t="shared" si="1"/>
        <v>54436489.697693177</v>
      </c>
      <c r="L15" s="2">
        <f>SUM(I10:I12)+SUM(J13:J15)</f>
        <v>104893425.67662983</v>
      </c>
      <c r="M15" s="2">
        <f>SUM(H10:H13)</f>
        <v>16444882.771286104</v>
      </c>
      <c r="N15" s="2">
        <f>L15+M15-H13</f>
        <v>117203253.84321824</v>
      </c>
      <c r="O15" s="2">
        <v>116000000</v>
      </c>
      <c r="R15" s="2">
        <f>SUM(C13:C15)/3</f>
        <v>107191.9223196566</v>
      </c>
      <c r="S15" s="2">
        <v>106200</v>
      </c>
      <c r="T15" s="2">
        <f>SUM(C4:C15)/12</f>
        <v>108648.46889416377</v>
      </c>
      <c r="U15" s="2">
        <v>109000</v>
      </c>
    </row>
    <row r="16" spans="1:24" x14ac:dyDescent="0.25">
      <c r="A16" s="1">
        <v>43101</v>
      </c>
      <c r="C16" s="8">
        <f>Kurdistan!R17</f>
        <v>107158.77904432366</v>
      </c>
      <c r="D16" s="8">
        <f>Oman!G17</f>
        <v>4267.747785709139</v>
      </c>
      <c r="E16">
        <f>Oljepris!B16-16.5</f>
        <v>52.58</v>
      </c>
      <c r="F16">
        <f>Oljepris!B16-5</f>
        <v>64.08</v>
      </c>
      <c r="G16" s="18">
        <v>5240000</v>
      </c>
      <c r="H16" s="2">
        <f>Kurdistan!H17*E16*Oljepris!D16*0.03</f>
        <v>5094598.074369899</v>
      </c>
      <c r="I16" s="2">
        <f>(C16*E16*Oljepris!D16*0.71*0.2935-H16)*1.3666</f>
        <v>42779110.632899433</v>
      </c>
      <c r="J16" s="2">
        <f>D16*F16*Oljepris!D16*0.5*0.45</f>
        <v>1907504.0148049854</v>
      </c>
      <c r="K16" s="2">
        <f t="shared" si="1"/>
        <v>49926614.647704422</v>
      </c>
      <c r="N16" s="2">
        <f t="shared" si="2"/>
        <v>0</v>
      </c>
      <c r="O16" s="2"/>
      <c r="T16" s="2"/>
      <c r="U16" s="2"/>
    </row>
    <row r="17" spans="1:21" x14ac:dyDescent="0.25">
      <c r="A17" s="1">
        <v>43132</v>
      </c>
      <c r="C17" s="8">
        <f>Kurdistan!R18</f>
        <v>102994.33171773599</v>
      </c>
      <c r="D17" s="8">
        <f>Oman!G18</f>
        <v>4229.338055637757</v>
      </c>
      <c r="E17">
        <f>Oljepris!B17-13.15</f>
        <v>52.169999999999995</v>
      </c>
      <c r="F17">
        <f>Oljepris!B17-5</f>
        <v>60.319999999999993</v>
      </c>
      <c r="G17" s="18">
        <v>4513500</v>
      </c>
      <c r="H17" s="2">
        <f>Kurdistan!H18*E17*Oljepris!D17*0.03</f>
        <v>4474377.2202445688</v>
      </c>
      <c r="I17" s="2">
        <f>(C17*E17*Oljepris!D17*0.71*0.2871-H17)*1.3666</f>
        <v>35796038.780583777</v>
      </c>
      <c r="J17" s="2">
        <f>D17*F17*Oljepris!D17*0.5*0.45</f>
        <v>1607216.1305512378</v>
      </c>
      <c r="K17" s="2">
        <f t="shared" si="1"/>
        <v>41916754.911135018</v>
      </c>
      <c r="N17" s="2">
        <f t="shared" si="2"/>
        <v>0</v>
      </c>
      <c r="O17" s="2"/>
      <c r="T17" s="2"/>
      <c r="U17" s="2"/>
    </row>
    <row r="18" spans="1:21" x14ac:dyDescent="0.25">
      <c r="A18" s="1">
        <v>43160</v>
      </c>
      <c r="C18" s="8">
        <f>Kurdistan!R19</f>
        <v>113485.90883298658</v>
      </c>
      <c r="D18" s="8">
        <f>Oman!G19</f>
        <v>4191.2740131370174</v>
      </c>
      <c r="E18">
        <f>Oljepris!B18-13.15</f>
        <v>52.87</v>
      </c>
      <c r="F18">
        <f>Oljepris!B18-5</f>
        <v>61.019999999999996</v>
      </c>
      <c r="G18" s="18">
        <v>5580000</v>
      </c>
      <c r="H18" s="2">
        <f>Kurdistan!H19*E18*Oljepris!D18*0.03</f>
        <v>4919838.0514327856</v>
      </c>
      <c r="I18" s="2">
        <f>(C18*E18*Oljepris!D18*0.71*0.2979-H18)*1.3666</f>
        <v>47039514.407311954</v>
      </c>
      <c r="J18" s="2">
        <f>D18*F18*Oljepris!D18*0.5*0.45</f>
        <v>1783866.9934643051</v>
      </c>
      <c r="K18" s="2">
        <f t="shared" si="1"/>
        <v>54403381.40077626</v>
      </c>
      <c r="L18" s="2">
        <f>SUM(I13:I15)+SUM(J16:J18)</f>
        <v>135191179.30422816</v>
      </c>
      <c r="M18" s="2">
        <f>SUM(H14:H15)</f>
        <v>9684141.1175011657</v>
      </c>
      <c r="N18" s="2">
        <f t="shared" si="2"/>
        <v>144875320.42172933</v>
      </c>
      <c r="O18" s="2">
        <v>142300000</v>
      </c>
      <c r="R18" s="2">
        <f>SUM(C16:C18)/3</f>
        <v>107879.67319834873</v>
      </c>
      <c r="S18">
        <v>109400</v>
      </c>
      <c r="T18" s="2"/>
      <c r="U18" s="2"/>
    </row>
    <row r="19" spans="1:21" x14ac:dyDescent="0.25">
      <c r="A19" s="1">
        <v>43191</v>
      </c>
      <c r="C19" s="8">
        <f>Kurdistan!R20</f>
        <v>101952.35941504598</v>
      </c>
      <c r="D19" s="8">
        <f>Oman!G20</f>
        <v>4153.552547018784</v>
      </c>
      <c r="E19">
        <f>Oljepris!B19-13.15</f>
        <v>58.96</v>
      </c>
      <c r="F19">
        <f>Oljepris!B19-5</f>
        <v>67.11</v>
      </c>
      <c r="G19" s="18">
        <v>5410000</v>
      </c>
      <c r="H19" s="2">
        <f>Kurdistan!H20*E19*Oljepris!D19*0.03</f>
        <v>5336028.7953207344</v>
      </c>
      <c r="I19" s="2">
        <f>(C19*E19*Oljepris!D19*0.71*0.31177-H19)*1.3666</f>
        <v>47259710.323321357</v>
      </c>
      <c r="J19" s="2">
        <f>D19*F19*Oljepris!D19*0.5*0.45</f>
        <v>1881528.1521554065</v>
      </c>
      <c r="K19" s="2">
        <f t="shared" si="1"/>
        <v>54551238.475476764</v>
      </c>
      <c r="N19" s="2">
        <f t="shared" si="2"/>
        <v>0</v>
      </c>
      <c r="O19" s="2"/>
      <c r="T19" s="2"/>
      <c r="U19" s="2"/>
    </row>
    <row r="20" spans="1:21" x14ac:dyDescent="0.25">
      <c r="A20" s="1">
        <v>43221</v>
      </c>
      <c r="C20" s="8">
        <f>Kurdistan!R21</f>
        <v>100922.28478617618</v>
      </c>
      <c r="D20" s="8">
        <f>Oman!G21</f>
        <v>4116.1705740956149</v>
      </c>
      <c r="E20">
        <f>Oljepris!B20-13.15</f>
        <v>63.82</v>
      </c>
      <c r="F20">
        <f>Oljepris!B20-5</f>
        <v>71.97</v>
      </c>
      <c r="G20" s="18">
        <v>5990000</v>
      </c>
      <c r="H20" s="2">
        <f>Kurdistan!H21*E20*Oljepris!D20*0.03</f>
        <v>5849032.0937662143</v>
      </c>
      <c r="I20" s="2">
        <f>(C20*E20*Oljepris!D20*0.71*0.31134-H20)*1.3666</f>
        <v>52323785.107579097</v>
      </c>
      <c r="J20" s="2">
        <f>D20*F20*Oljepris!D20*0.5*0.45</f>
        <v>2066279.5536181885</v>
      </c>
      <c r="K20" s="2">
        <f t="shared" si="1"/>
        <v>60380064.661197282</v>
      </c>
      <c r="N20" s="2">
        <f t="shared" si="2"/>
        <v>0</v>
      </c>
      <c r="O20" s="2"/>
      <c r="T20" s="2"/>
      <c r="U20" s="2"/>
    </row>
    <row r="21" spans="1:21" x14ac:dyDescent="0.25">
      <c r="A21" s="1">
        <v>43252</v>
      </c>
      <c r="C21" s="8">
        <f>Kurdistan!R22</f>
        <v>105016.86799434105</v>
      </c>
      <c r="D21" s="8">
        <f>Oman!G22</f>
        <v>4079.1250389287543</v>
      </c>
      <c r="E21">
        <f>Oljepris!B21-13.15</f>
        <v>61.26</v>
      </c>
      <c r="F21">
        <f>Oljepris!B21-5</f>
        <v>69.41</v>
      </c>
      <c r="G21" s="18">
        <v>5790000</v>
      </c>
      <c r="H21" s="2">
        <f>Kurdistan!H22*E21*Oljepris!D21*0.03</f>
        <v>5324634.8896013368</v>
      </c>
      <c r="I21" s="2">
        <f>(C21*E21*Oljepris!D21*0.71*0.3-H21)*1.3666</f>
        <v>48902913.359870814</v>
      </c>
      <c r="J21" s="2">
        <f>D21*F21*Oljepris!D21*0.5*0.45</f>
        <v>1911141.4654263027</v>
      </c>
      <c r="K21" s="2">
        <f t="shared" si="1"/>
        <v>56604054.825297117</v>
      </c>
      <c r="L21" s="2">
        <f>SUM(I16:I18)+SUM(J19:J21)</f>
        <v>131473612.99199505</v>
      </c>
      <c r="M21" s="2">
        <f>SUM(H16:H18)</f>
        <v>14488813.346047252</v>
      </c>
      <c r="N21" s="2">
        <f t="shared" si="2"/>
        <v>145962426.33804232</v>
      </c>
      <c r="O21" s="2">
        <v>147000000</v>
      </c>
      <c r="R21" s="2">
        <f>SUM(C19:C21)/3</f>
        <v>102630.50406518775</v>
      </c>
      <c r="S21">
        <v>106000</v>
      </c>
      <c r="T21" s="2"/>
      <c r="U21" s="2"/>
    </row>
    <row r="22" spans="1:21" x14ac:dyDescent="0.25">
      <c r="A22" s="1">
        <v>43282</v>
      </c>
      <c r="C22" s="8">
        <f>Kurdistan!R23</f>
        <v>109286.73248508526</v>
      </c>
      <c r="D22" s="8">
        <f>Oman!G23</f>
        <v>4042.4129135783955</v>
      </c>
      <c r="E22">
        <f>Oljepris!B22-13.15</f>
        <v>61.1</v>
      </c>
      <c r="F22">
        <f>Oljepris!B22-5</f>
        <v>69.25</v>
      </c>
      <c r="G22" s="18">
        <v>6210000</v>
      </c>
      <c r="H22" s="2">
        <f>Kurdistan!H23*E22*Oljepris!D22*0.03</f>
        <v>5377997.1299956543</v>
      </c>
      <c r="I22" s="2">
        <f>(C22*E22*Oljepris!D22*0.71*0.3-H22)*1.3666</f>
        <v>52905189.722147942</v>
      </c>
      <c r="J22" s="2">
        <f>D22*F22*Oljepris!D22*0.5*0.45</f>
        <v>1952561.2325004945</v>
      </c>
      <c r="K22" s="2">
        <f t="shared" si="1"/>
        <v>61067750.954648435</v>
      </c>
      <c r="N22" s="2">
        <f t="shared" si="2"/>
        <v>0</v>
      </c>
      <c r="O22" s="2"/>
      <c r="T22" s="2"/>
      <c r="U22" s="2"/>
    </row>
    <row r="23" spans="1:21" x14ac:dyDescent="0.25">
      <c r="A23" s="1">
        <v>43313</v>
      </c>
      <c r="C23" s="8">
        <f>Kurdistan!R24</f>
        <v>113176.66061850592</v>
      </c>
      <c r="D23" s="8">
        <f>Oman!G24</f>
        <v>4006.0311973561902</v>
      </c>
      <c r="E23">
        <f>Oljepris!B23-13.15</f>
        <v>59.38</v>
      </c>
      <c r="F23">
        <f>Oljepris!B23-5</f>
        <v>67.53</v>
      </c>
      <c r="G23" s="18">
        <v>6250000</v>
      </c>
      <c r="H23" s="2">
        <f>Kurdistan!H24*E23*Oljepris!D23*0.03</f>
        <v>5895198.9614985129</v>
      </c>
      <c r="I23" s="2">
        <f>(C23*E23*Oljepris!D23*0.71*0.3-H23)*1.3666</f>
        <v>52586496.099216126</v>
      </c>
      <c r="J23" s="2">
        <f>D23*F23*Oljepris!D23*0.5*0.45</f>
        <v>1886927.8251333081</v>
      </c>
      <c r="K23" s="2">
        <f t="shared" si="1"/>
        <v>60723423.924349435</v>
      </c>
      <c r="N23" s="2">
        <f t="shared" si="2"/>
        <v>0</v>
      </c>
      <c r="O23" s="2"/>
      <c r="T23" s="2"/>
      <c r="U23" s="2"/>
    </row>
    <row r="24" spans="1:21" x14ac:dyDescent="0.25">
      <c r="A24" s="1">
        <v>43344</v>
      </c>
      <c r="C24" s="8">
        <f>Kurdistan!R25</f>
        <v>116621.03234966029</v>
      </c>
      <c r="D24" s="8">
        <f>Oman!G25</f>
        <v>3969.9769165799844</v>
      </c>
      <c r="E24">
        <f>Oljepris!B24-13.15</f>
        <v>65.739999999999995</v>
      </c>
      <c r="F24">
        <f>Oljepris!B24-5</f>
        <v>73.89</v>
      </c>
      <c r="G24" s="18">
        <v>6900000</v>
      </c>
      <c r="H24" s="2">
        <f>Kurdistan!H25*E24*Oljepris!D24*0.03</f>
        <v>6603919.1486163568</v>
      </c>
      <c r="I24" s="2">
        <f>(C24*E24*Oljepris!D24*0.71*0.3-H24)*1.3666</f>
        <v>57924818.091500886</v>
      </c>
      <c r="J24" s="2">
        <f>D24*F24*Oljepris!D24*0.5*0.45</f>
        <v>1980055.7619711414</v>
      </c>
      <c r="K24" s="2">
        <f t="shared" si="1"/>
        <v>66804873.853472024</v>
      </c>
      <c r="L24" s="2">
        <f>SUM(I19:I21)+SUM(J22:J24)</f>
        <v>154305953.61037621</v>
      </c>
      <c r="M24" s="2">
        <f>SUM(H19:H21)</f>
        <v>16509695.778688285</v>
      </c>
      <c r="N24" s="2">
        <f t="shared" si="2"/>
        <v>170815649.38906449</v>
      </c>
      <c r="O24" s="2">
        <v>171200000</v>
      </c>
      <c r="R24" s="2">
        <f>SUM(C22:C24)/3</f>
        <v>113028.14181775048</v>
      </c>
      <c r="S24">
        <v>113100</v>
      </c>
      <c r="T24" s="2"/>
      <c r="U24" s="2"/>
    </row>
    <row r="25" spans="1:21" x14ac:dyDescent="0.25">
      <c r="A25" s="1">
        <v>43374</v>
      </c>
      <c r="C25" s="8">
        <f>Kurdistan!R26</f>
        <v>126725.84763751342</v>
      </c>
      <c r="D25" s="8">
        <f>Oman!G26</f>
        <v>3934.2471243307646</v>
      </c>
      <c r="E25">
        <f>Oljepris!B25-13.15</f>
        <v>67.88</v>
      </c>
      <c r="F25">
        <f>Oljepris!B25-5</f>
        <v>76.03</v>
      </c>
      <c r="G25" s="18">
        <v>8000000</v>
      </c>
      <c r="H25" s="2">
        <f>Kurdistan!H26*E25*Oljepris!D25*0.03</f>
        <v>7410292.9369077273</v>
      </c>
      <c r="I25" s="2">
        <f>(C25*E25*Oljepris!D25*0.71*0.3-H25)*1.3666</f>
        <v>67495973.672421902</v>
      </c>
      <c r="J25" s="2">
        <f>D25*F25*Oljepris!D25*0.5*0.45</f>
        <v>2086367.6418185045</v>
      </c>
      <c r="K25" s="2">
        <f t="shared" si="1"/>
        <v>77582341.314240411</v>
      </c>
      <c r="N25" s="2">
        <f t="shared" si="2"/>
        <v>0</v>
      </c>
      <c r="O25" s="2"/>
      <c r="T25" s="2"/>
      <c r="U25" s="2"/>
    </row>
    <row r="26" spans="1:21" x14ac:dyDescent="0.25">
      <c r="A26" s="1">
        <v>43405</v>
      </c>
      <c r="C26" s="8">
        <f>Kurdistan!R27</f>
        <v>127045.65030146427</v>
      </c>
      <c r="D26" s="8">
        <f>Oman!G27</f>
        <v>3898.8389002117879</v>
      </c>
      <c r="E26">
        <f>Oljepris!B26-13.15</f>
        <v>51.6</v>
      </c>
      <c r="F26">
        <f>Oljepris!B26-5</f>
        <v>59.75</v>
      </c>
      <c r="G26" s="18">
        <v>5900000</v>
      </c>
      <c r="H26" s="2">
        <f>Kurdistan!H27*E26*Oljepris!D26*0.03</f>
        <v>5342307.4861741308</v>
      </c>
      <c r="I26" s="2">
        <f>(C26*E26*Oljepris!D26*0.71*0.3-H26)*1.3666</f>
        <v>49946076.589394435</v>
      </c>
      <c r="J26" s="2">
        <f>D26*F26*Oljepris!D26*0.5*0.45</f>
        <v>1572450.4639416668</v>
      </c>
      <c r="K26" s="2">
        <f t="shared" si="1"/>
        <v>57418527.053336099</v>
      </c>
      <c r="N26" s="2">
        <f t="shared" si="2"/>
        <v>0</v>
      </c>
      <c r="O26" s="2"/>
      <c r="T26" s="2"/>
      <c r="U26" s="2"/>
    </row>
    <row r="27" spans="1:21" x14ac:dyDescent="0.25">
      <c r="A27" s="1">
        <v>43435</v>
      </c>
      <c r="C27" s="8">
        <f>Kurdistan!R28</f>
        <v>127774.1738908219</v>
      </c>
      <c r="D27" s="8">
        <f>Oman!G28</f>
        <v>3863.7493501098816</v>
      </c>
      <c r="E27">
        <f>Oljepris!B27-13.15</f>
        <v>43.76</v>
      </c>
      <c r="F27">
        <f>Oljepris!B27-5</f>
        <v>51.91</v>
      </c>
      <c r="G27" s="18">
        <v>5200000</v>
      </c>
      <c r="H27" s="2">
        <f>Kurdistan!H28*E27*Oljepris!D27*0.03</f>
        <v>4689737.7561857169</v>
      </c>
      <c r="I27" s="2">
        <f>(C27*E27*Oljepris!D27*0.71*0.3-H27)*1.3666</f>
        <v>44045876.382396601</v>
      </c>
      <c r="J27" s="2">
        <f>D27*F27*Oljepris!D27*0.5*0.45</f>
        <v>1398956.4206303223</v>
      </c>
      <c r="K27" s="2">
        <f t="shared" si="1"/>
        <v>50644832.803026922</v>
      </c>
      <c r="L27" s="2">
        <f>SUM(I22:I27)+SUM(J25:J27)</f>
        <v>329962205.08346838</v>
      </c>
      <c r="M27" s="2">
        <f>SUM(H22:H27)</f>
        <v>35319453.419378102</v>
      </c>
      <c r="N27" s="2">
        <f t="shared" si="2"/>
        <v>365281658.50284648</v>
      </c>
      <c r="O27" s="2">
        <v>368800000</v>
      </c>
      <c r="P27" s="2">
        <f>SUM(N16:N27)</f>
        <v>826935054.65168262</v>
      </c>
      <c r="Q27" s="2"/>
      <c r="R27" s="2">
        <f>SUM(C25:C27)/3</f>
        <v>127181.89060993318</v>
      </c>
      <c r="S27" s="2">
        <v>127262</v>
      </c>
      <c r="T27" s="2">
        <f>SUM(C16:C27)/12</f>
        <v>112680.05242280505</v>
      </c>
      <c r="U27" s="2">
        <v>117607</v>
      </c>
    </row>
    <row r="28" spans="1:21" x14ac:dyDescent="0.25">
      <c r="A28" s="1">
        <v>43466</v>
      </c>
      <c r="C28" s="8">
        <f>Kurdistan!R29</f>
        <v>128539.48463337193</v>
      </c>
      <c r="D28" s="8">
        <f>'Norge-UK'!AA29</f>
        <v>18006.022258892703</v>
      </c>
      <c r="E28">
        <f>Oljepris!B28-13.15</f>
        <v>46.26</v>
      </c>
      <c r="F28">
        <f>Oljepris!B28-1</f>
        <v>58.41</v>
      </c>
      <c r="G28" s="18">
        <v>5530000</v>
      </c>
      <c r="H28" s="2">
        <f>Kurdistan!H29*E28*Oljepris!D28*0.03</f>
        <v>5159660.9004828213</v>
      </c>
      <c r="I28" s="2">
        <f>(C28*E28*Oljepris!D28*0.71*0.3-H28)*1.3666</f>
        <v>46605623.213400185</v>
      </c>
      <c r="J28" s="2">
        <f>D28*F28*Oljepris!D28*0.73</f>
        <v>23800689.732011706</v>
      </c>
      <c r="K28" s="2">
        <f t="shared" si="1"/>
        <v>75936312.945411891</v>
      </c>
      <c r="N28" s="2">
        <f t="shared" si="2"/>
        <v>0</v>
      </c>
      <c r="O28" s="2"/>
      <c r="P28" s="2">
        <f>SUM(O18:O27)</f>
        <v>829300000</v>
      </c>
      <c r="Q28" s="2"/>
      <c r="T28" s="2"/>
      <c r="U28" s="2"/>
    </row>
    <row r="29" spans="1:21" x14ac:dyDescent="0.25">
      <c r="A29" s="1">
        <v>43497</v>
      </c>
      <c r="C29" s="8">
        <f>Kurdistan!R30</f>
        <v>126500</v>
      </c>
      <c r="D29" s="8">
        <f>'Norge-UK'!AA30</f>
        <v>18826.908087220538</v>
      </c>
      <c r="E29">
        <f>Oljepris!B29-13.15</f>
        <v>50.81</v>
      </c>
      <c r="F29">
        <f>Oljepris!B29-1</f>
        <v>62.96</v>
      </c>
      <c r="G29" s="18"/>
      <c r="H29" s="2">
        <f>Kurdistan!H30*E29*Oljepris!D29*0.03</f>
        <v>5421805.8236956066</v>
      </c>
      <c r="I29" s="2">
        <f>(C29*E29*Oljepris!D29*0.71*0.3-H29)*1.3666</f>
        <v>44976986.323253579</v>
      </c>
      <c r="J29" s="2">
        <f>D29*F29*Oljepris!D29*0.73</f>
        <v>24228393.202023521</v>
      </c>
      <c r="K29" s="2">
        <f t="shared" si="1"/>
        <v>74627185.348972708</v>
      </c>
      <c r="N29" s="2">
        <f t="shared" si="2"/>
        <v>0</v>
      </c>
      <c r="O29" s="2"/>
      <c r="T29" s="2"/>
      <c r="U29" s="2"/>
    </row>
    <row r="30" spans="1:21" x14ac:dyDescent="0.25">
      <c r="A30" s="1">
        <v>43525</v>
      </c>
      <c r="C30" s="8">
        <f>Kurdistan!R31</f>
        <v>125240</v>
      </c>
      <c r="D30" s="8">
        <f>'Norge-UK'!AA31</f>
        <v>18436.406760416314</v>
      </c>
      <c r="E30">
        <f>Oljepris!B30-13.15</f>
        <v>52.99</v>
      </c>
      <c r="F30">
        <f>Oljepris!B30-1</f>
        <v>65.14</v>
      </c>
      <c r="G30" s="18"/>
      <c r="H30" s="2">
        <f>Kurdistan!H31*E30*Oljepris!D30*0.03</f>
        <v>6135054.463657327</v>
      </c>
      <c r="I30" s="2">
        <f>(C30*E30*Oljepris!D30*0.71*0.3-H30)*1.3666</f>
        <v>51501060.466088384</v>
      </c>
      <c r="J30" s="2">
        <f>D30*F30*Oljepris!D30*0.73</f>
        <v>27177442.748132728</v>
      </c>
      <c r="K30" s="2">
        <f t="shared" si="1"/>
        <v>84813557.677878439</v>
      </c>
      <c r="L30" s="2">
        <f>SUM(I28:I30)+SUM(J28:J30)</f>
        <v>218290195.68491009</v>
      </c>
      <c r="M30" s="2">
        <f>SUM(H28:H30)</f>
        <v>16716521.187835755</v>
      </c>
      <c r="N30" s="2">
        <f t="shared" si="2"/>
        <v>235006716.87274584</v>
      </c>
      <c r="O30" s="2">
        <v>204100000</v>
      </c>
      <c r="R30" s="2">
        <f>SUM(Kurdistan!H29:H31)/3</f>
        <v>123818.67618881348</v>
      </c>
      <c r="S30">
        <v>126759</v>
      </c>
      <c r="T30" s="2"/>
      <c r="U30" s="2"/>
    </row>
    <row r="31" spans="1:21" x14ac:dyDescent="0.25">
      <c r="A31" s="1">
        <v>43556</v>
      </c>
      <c r="C31" s="8">
        <f>Kurdistan!R32</f>
        <v>125000</v>
      </c>
      <c r="D31" s="8">
        <f>'Norge-UK'!AA32</f>
        <v>20305.388265701975</v>
      </c>
      <c r="E31">
        <f>Oljepris!B31-13.15</f>
        <v>58.080000000000005</v>
      </c>
      <c r="F31">
        <f>Oljepris!B31-1</f>
        <v>70.23</v>
      </c>
      <c r="G31" s="18"/>
      <c r="H31" s="2">
        <f>Kurdistan!H32*E31*Oljepris!D31*0.03</f>
        <v>6377298.5283449683</v>
      </c>
      <c r="I31" s="2">
        <f>(C31*E31*Oljepris!D31*0.71*0.3-H31)*1.3666</f>
        <v>54683271.071163774</v>
      </c>
      <c r="J31" s="2">
        <f>D31*F31*Oljepris!D31*0.73</f>
        <v>31230438.452015471</v>
      </c>
      <c r="K31" s="2">
        <f t="shared" si="1"/>
        <v>92291008.051524207</v>
      </c>
      <c r="L31" s="2"/>
      <c r="M31" t="s">
        <v>219</v>
      </c>
      <c r="N31" s="2">
        <f>SUM(H31:I33)</f>
        <v>179945640.82660216</v>
      </c>
      <c r="O31" s="2"/>
      <c r="T31" s="2"/>
      <c r="U31" s="2"/>
    </row>
    <row r="32" spans="1:21" x14ac:dyDescent="0.25">
      <c r="A32" s="1">
        <v>43586</v>
      </c>
      <c r="C32" s="8">
        <f>Kurdistan!R33</f>
        <v>127000</v>
      </c>
      <c r="D32" s="8">
        <f>'Norge-UK'!AA33</f>
        <v>20382.249556004979</v>
      </c>
      <c r="E32">
        <f>Oljepris!B32-13.15</f>
        <v>58.169999999999995</v>
      </c>
      <c r="F32">
        <f>Oljepris!B32-1</f>
        <v>70.319999999999993</v>
      </c>
      <c r="G32" s="18"/>
      <c r="H32" s="2">
        <f>Kurdistan!H33*E32*Oljepris!D32*0.03</f>
        <v>6982016.9447569195</v>
      </c>
      <c r="I32" s="2">
        <f>(C32*E32*Oljepris!D32*0.71*0.3-H32)*1.3666</f>
        <v>57121474.545177184</v>
      </c>
      <c r="J32" s="2">
        <f>D32*F32*Oljepris!D32*0.73</f>
        <v>32435121.620052248</v>
      </c>
      <c r="K32" s="2">
        <f t="shared" si="1"/>
        <v>96538613.10998635</v>
      </c>
      <c r="L32" s="2"/>
      <c r="M32" t="s">
        <v>220</v>
      </c>
      <c r="N32" s="2">
        <f>SUM(J31:J33)</f>
        <v>81421590.157454744</v>
      </c>
      <c r="O32" s="2"/>
      <c r="T32" s="2"/>
      <c r="U32" s="2"/>
    </row>
    <row r="33" spans="1:21" x14ac:dyDescent="0.25">
      <c r="A33" s="1">
        <v>43617</v>
      </c>
      <c r="C33" s="8">
        <f>Kurdistan!R34</f>
        <v>127615</v>
      </c>
      <c r="D33" s="8">
        <f>'Norge-UK'!AA34</f>
        <v>12824.701510119065</v>
      </c>
      <c r="E33">
        <f>Oljepris!B33-13.15</f>
        <v>51.07</v>
      </c>
      <c r="F33">
        <f>Oljepris!B33-1</f>
        <v>63.22</v>
      </c>
      <c r="G33" s="18"/>
      <c r="H33" s="2">
        <f>Kurdistan!H34*E33*Oljepris!D33*0.03</f>
        <v>5813441.8017495088</v>
      </c>
      <c r="I33" s="2">
        <f>(C33*E33*Oljepris!D33*0.71*0.3-H33)*1.3666</f>
        <v>48968137.935409814</v>
      </c>
      <c r="J33" s="2">
        <f>D33*F33*Oljepris!D33*0.73</f>
        <v>17756030.085387025</v>
      </c>
      <c r="K33" s="2">
        <f t="shared" si="1"/>
        <v>72537609.822546348</v>
      </c>
      <c r="L33" s="2">
        <f>SUM(I31:I33)+SUM(J31:J33)</f>
        <v>242194473.70920551</v>
      </c>
      <c r="M33" s="2">
        <f>SUM(H31:H33)</f>
        <v>19172757.274851397</v>
      </c>
      <c r="N33" s="2">
        <f t="shared" si="2"/>
        <v>261367230.98405689</v>
      </c>
      <c r="O33" s="2">
        <v>265700000</v>
      </c>
      <c r="R33" s="2">
        <f>SUM(Kurdistan!H32:H34)/3</f>
        <v>125848.4141461684</v>
      </c>
      <c r="S33">
        <v>126538</v>
      </c>
      <c r="T33" s="2"/>
      <c r="U33" s="2"/>
    </row>
    <row r="34" spans="1:21" x14ac:dyDescent="0.25">
      <c r="A34" s="1">
        <v>43647</v>
      </c>
      <c r="C34" s="8">
        <f>Kurdistan!R35</f>
        <v>120800</v>
      </c>
      <c r="D34" s="8">
        <f>'Norge-UK'!AA35</f>
        <v>15936.067410512034</v>
      </c>
      <c r="E34">
        <f>Oljepris!B34-13.15</f>
        <v>50.77</v>
      </c>
      <c r="F34">
        <f>Oljepris!B34-1</f>
        <v>62.92</v>
      </c>
      <c r="G34" s="18"/>
      <c r="H34" s="2">
        <f>Kurdistan!H35*E34*Oljepris!D34*0.03</f>
        <v>5852496.3224000456</v>
      </c>
      <c r="I34" s="2">
        <f>(C34*E34*Oljepris!D34*0.71*0.3-H34)*1.51</f>
        <v>52312150.571655922</v>
      </c>
      <c r="J34" s="2">
        <f>D34*F34*Oljepris!D34*0.73</f>
        <v>22691041.290052909</v>
      </c>
      <c r="K34" s="2">
        <f t="shared" si="1"/>
        <v>80855688.184108883</v>
      </c>
      <c r="M34" t="s">
        <v>219</v>
      </c>
      <c r="N34" s="2">
        <f>SUM(H34:I36)</f>
        <v>164453873.75690249</v>
      </c>
      <c r="O34" s="2">
        <v>164500000</v>
      </c>
      <c r="T34" s="2"/>
      <c r="U34" s="2"/>
    </row>
    <row r="35" spans="1:21" x14ac:dyDescent="0.25">
      <c r="A35" s="1">
        <v>43678</v>
      </c>
      <c r="C35" s="8">
        <f>Kurdistan!R36</f>
        <v>119700</v>
      </c>
      <c r="D35" s="8">
        <f>'Norge-UK'!AA36</f>
        <v>15471.025665172436</v>
      </c>
      <c r="E35">
        <f>Oljepris!B35-13.15</f>
        <v>45.89</v>
      </c>
      <c r="F35">
        <f>Oljepris!B35-1</f>
        <v>58.04</v>
      </c>
      <c r="G35" s="18"/>
      <c r="H35" s="2">
        <f>Kurdistan!H36*E35*Oljepris!D35*0.03</f>
        <v>5184156.6891912408</v>
      </c>
      <c r="I35" s="2">
        <f>(C35*E35*Oljepris!D35*0.71*0.3-H35)*1.51</f>
        <v>46940373.716811225</v>
      </c>
      <c r="J35" s="2">
        <f>D35*F35*Oljepris!D35*0.73</f>
        <v>20320344.398997542</v>
      </c>
      <c r="K35" s="2">
        <f t="shared" si="1"/>
        <v>72444874.805000007</v>
      </c>
      <c r="M35" t="s">
        <v>220</v>
      </c>
      <c r="N35" s="2">
        <f>SUM(J34:J36)</f>
        <v>60841896.426620767</v>
      </c>
      <c r="O35" s="2">
        <v>61700000</v>
      </c>
      <c r="T35" s="2"/>
      <c r="U35" s="2"/>
    </row>
    <row r="36" spans="1:21" x14ac:dyDescent="0.25">
      <c r="A36" s="1">
        <v>43709</v>
      </c>
      <c r="C36" s="8">
        <f>Kurdistan!R37</f>
        <v>118800</v>
      </c>
      <c r="D36" s="8">
        <f>'Norge-UK'!AA37</f>
        <v>13168.018316218586</v>
      </c>
      <c r="E36">
        <f>Oljepris!B36-13.15</f>
        <v>49.68</v>
      </c>
      <c r="F36">
        <f>Oljepris!B36-1</f>
        <v>61.83</v>
      </c>
      <c r="G36" s="18"/>
      <c r="H36" s="2">
        <f>Kurdistan!H37*E36*Oljepris!D36*0.03</f>
        <v>5456778.3544234196</v>
      </c>
      <c r="I36" s="2">
        <f>(C36*E36*Oljepris!D36*0.71*0.3-H36)*1.51</f>
        <v>48707918.102420636</v>
      </c>
      <c r="J36" s="2">
        <f>D36*F36*Oljepris!D36*0.73</f>
        <v>17830510.737570316</v>
      </c>
      <c r="K36" s="2">
        <f t="shared" si="1"/>
        <v>71995207.194414377</v>
      </c>
      <c r="L36" s="2">
        <f>SUM(I34:I36)+SUM(J34:J36)</f>
        <v>208802338.81750852</v>
      </c>
      <c r="M36" s="2">
        <f>SUM(H34:H36)</f>
        <v>16493431.366014704</v>
      </c>
      <c r="N36" s="2">
        <f t="shared" si="2"/>
        <v>225295770.18352324</v>
      </c>
      <c r="O36" s="2">
        <v>227000000</v>
      </c>
      <c r="R36" s="2">
        <f>SUM(Kurdistan!H35:H37)/3</f>
        <v>122488.7872737272</v>
      </c>
      <c r="S36">
        <v>119800</v>
      </c>
      <c r="T36" s="2"/>
      <c r="U36" s="2"/>
    </row>
    <row r="37" spans="1:21" x14ac:dyDescent="0.25">
      <c r="A37" s="1">
        <v>43739</v>
      </c>
      <c r="C37" s="8">
        <f>Kurdistan!R38</f>
        <v>122000</v>
      </c>
      <c r="D37" s="8">
        <f>'Norge-UK'!AA38</f>
        <v>16564.683560993686</v>
      </c>
      <c r="E37">
        <f>Oljepris!B37-13.15</f>
        <v>46.56</v>
      </c>
      <c r="F37">
        <f>Oljepris!B37-1</f>
        <v>58.71</v>
      </c>
      <c r="G37" s="18"/>
      <c r="H37" s="2">
        <f>Kurdistan!H38*E37*Oljepris!D37*0.03</f>
        <v>5525266.9029037673</v>
      </c>
      <c r="I37" s="2">
        <f>(C37*E37*Oljepris!D37*0.71*0.3-H37)*1.675</f>
        <v>53569659.145636186</v>
      </c>
      <c r="J37" s="2">
        <f>D37*F37*Oljepris!D37*0.77</f>
        <v>23213875.090439972</v>
      </c>
      <c r="K37" s="2">
        <f t="shared" si="1"/>
        <v>82308801.138979927</v>
      </c>
      <c r="M37" t="s">
        <v>219</v>
      </c>
      <c r="N37" s="2">
        <f>SUM(H37:I39)</f>
        <v>190602820.44190562</v>
      </c>
      <c r="O37" s="2">
        <v>191100000</v>
      </c>
      <c r="T37" s="2"/>
      <c r="U37" s="2"/>
    </row>
    <row r="38" spans="1:21" x14ac:dyDescent="0.25">
      <c r="A38" s="1">
        <v>43770</v>
      </c>
      <c r="C38" s="8">
        <f>Kurdistan!R39</f>
        <v>122850</v>
      </c>
      <c r="D38" s="8">
        <f>'Norge-UK'!AA39</f>
        <v>18270.586364604726</v>
      </c>
      <c r="E38">
        <f>Oljepris!B38-13.15</f>
        <v>50.06</v>
      </c>
      <c r="F38">
        <f>Oljepris!B38-1</f>
        <v>62.21</v>
      </c>
      <c r="G38" s="18"/>
      <c r="H38" s="2">
        <f>Kurdistan!H39*E38*Oljepris!D38*0.03</f>
        <v>5791688.0841406584</v>
      </c>
      <c r="I38" s="2">
        <f>(C38*E38*Oljepris!D38*0.71*0.3-H38)*1.675</f>
        <v>56122529.239814393</v>
      </c>
      <c r="J38" s="2">
        <f>D38*F38*Oljepris!D38*0.77</f>
        <v>26255764.405841589</v>
      </c>
      <c r="K38" s="2">
        <f t="shared" si="1"/>
        <v>88169981.729796648</v>
      </c>
      <c r="M38" t="s">
        <v>220</v>
      </c>
      <c r="N38" s="2">
        <f>SUM(J37:J39)</f>
        <v>83300284.83999607</v>
      </c>
      <c r="O38" s="2">
        <v>83500000</v>
      </c>
      <c r="T38" s="2"/>
      <c r="U38" s="2"/>
    </row>
    <row r="39" spans="1:21" x14ac:dyDescent="0.25">
      <c r="A39" s="1">
        <v>43800</v>
      </c>
      <c r="C39" s="8">
        <f>Kurdistan!R40</f>
        <v>123530</v>
      </c>
      <c r="D39" s="8">
        <f>'Norge-UK'!AA40</f>
        <v>21373.656989304916</v>
      </c>
      <c r="E39">
        <f>Oljepris!B39-13.15</f>
        <v>54.160000000000004</v>
      </c>
      <c r="F39">
        <f>Oljepris!B39-1</f>
        <v>66.31</v>
      </c>
      <c r="G39" s="18"/>
      <c r="H39" s="2">
        <f>Kurdistan!H40*E39*Oljepris!D39*0.03</f>
        <v>6521697.8936435115</v>
      </c>
      <c r="I39" s="2">
        <f>(C39*E39*Oljepris!D39*0.71*0.3-H39)*1.675</f>
        <v>63071979.175767124</v>
      </c>
      <c r="J39" s="2">
        <f>D39*F39*Oljepris!D39*0.77</f>
        <v>33830645.343714513</v>
      </c>
      <c r="K39" s="2">
        <f t="shared" si="1"/>
        <v>103424322.41312516</v>
      </c>
      <c r="L39" s="2">
        <f>SUM(I37:I39)+SUM(J37:J39)</f>
        <v>256064452.40121377</v>
      </c>
      <c r="M39" s="2">
        <f>SUM(H37:H39)</f>
        <v>17838652.880687937</v>
      </c>
      <c r="N39" s="2">
        <f t="shared" si="2"/>
        <v>273903105.28190172</v>
      </c>
      <c r="O39" s="2">
        <f>SUM(O37:O38)</f>
        <v>274600000</v>
      </c>
      <c r="P39" s="2">
        <f>N30+N33+N36+N39</f>
        <v>995572823.3222276</v>
      </c>
      <c r="Q39" s="2">
        <f>O39+O36+O33+O30</f>
        <v>971400000</v>
      </c>
      <c r="R39" s="2">
        <f>SUM(Kurdistan!H38:H40)/3</f>
        <v>128543.60000506719</v>
      </c>
      <c r="S39">
        <v>122800</v>
      </c>
      <c r="T39" s="2">
        <f>SUM(C28:C39)/12</f>
        <v>123964.54038611433</v>
      </c>
      <c r="U39" s="2"/>
    </row>
    <row r="40" spans="1:21" x14ac:dyDescent="0.25">
      <c r="A40" s="1">
        <v>43831</v>
      </c>
      <c r="C40" s="8">
        <f>Kurdistan!R41</f>
        <v>117000</v>
      </c>
      <c r="D40" s="8">
        <f>'Norge-UK'!AA41</f>
        <v>15310.858803161847</v>
      </c>
      <c r="E40">
        <f>Oljepris!B40-13.15</f>
        <v>50.68</v>
      </c>
      <c r="F40">
        <f>Oljepris!B40-1</f>
        <v>62.83</v>
      </c>
      <c r="G40" s="18"/>
      <c r="H40" s="2">
        <f>Kurdistan!H41*E40*Oljepris!D40*0.03</f>
        <v>6121996.4663378149</v>
      </c>
      <c r="I40" s="2">
        <f>(C40*E40*Oljepris!D40*0.71*0.3-H40)*1.714</f>
        <v>56614942.398216985</v>
      </c>
      <c r="J40" s="2">
        <f>D40*F40*Oljepris!D40*0.879</f>
        <v>26213027.315663852</v>
      </c>
      <c r="K40" s="2">
        <f t="shared" si="1"/>
        <v>88949966.180218652</v>
      </c>
      <c r="M40" t="s">
        <v>219</v>
      </c>
      <c r="N40" s="2">
        <f>SUM(H40:I42)</f>
        <v>133941742.42339036</v>
      </c>
      <c r="O40" s="2">
        <v>134600000</v>
      </c>
      <c r="T40" s="2"/>
      <c r="U40" s="2"/>
    </row>
    <row r="41" spans="1:21" x14ac:dyDescent="0.25">
      <c r="A41" s="1">
        <v>43862</v>
      </c>
      <c r="C41" s="8">
        <f>Kurdistan!R42</f>
        <v>115500</v>
      </c>
      <c r="D41" s="8">
        <f>'Norge-UK'!AA42</f>
        <v>19849.474303771993</v>
      </c>
      <c r="E41">
        <f>Oljepris!B41-13.15</f>
        <v>42.51</v>
      </c>
      <c r="F41">
        <f>Oljepris!B41-1</f>
        <v>54.66</v>
      </c>
      <c r="G41" s="18"/>
      <c r="H41" s="2">
        <f>Kurdistan!H42*E41*Oljepris!D41*0.03</f>
        <v>4707712.7219886081</v>
      </c>
      <c r="I41" s="2">
        <f>(C41*E41*Oljepris!D41*0.71*0.3-H41)*1.714</f>
        <v>43914000.573601514</v>
      </c>
      <c r="J41" s="2">
        <f>D41*F41*Oljepris!D41*0.879</f>
        <v>27657028.018437516</v>
      </c>
      <c r="K41" s="2">
        <f t="shared" si="1"/>
        <v>76278741.314027637</v>
      </c>
      <c r="M41" t="s">
        <v>220</v>
      </c>
      <c r="N41" s="2">
        <f>SUM(J40:J42)</f>
        <v>71041499.617880747</v>
      </c>
      <c r="O41" s="2">
        <v>71000000</v>
      </c>
      <c r="T41" s="2"/>
      <c r="U41" s="2"/>
    </row>
    <row r="42" spans="1:21" x14ac:dyDescent="0.25">
      <c r="A42" s="1">
        <v>43891</v>
      </c>
      <c r="C42" s="8">
        <f>Kurdistan!R43</f>
        <v>113120</v>
      </c>
      <c r="D42" s="8">
        <f>'Norge-UK'!AA43</f>
        <v>20321.44049613965</v>
      </c>
      <c r="E42">
        <f>Oljepris!B42-13.15</f>
        <v>18.86</v>
      </c>
      <c r="F42">
        <f>Oljepris!B42-1</f>
        <v>31.009999999999998</v>
      </c>
      <c r="G42" s="18"/>
      <c r="H42" s="2">
        <f>Kurdistan!H43*E42*Oljepris!D42*0.03</f>
        <v>2188015.0663430938</v>
      </c>
      <c r="I42" s="2">
        <f>(C42*E42*Oljepris!D42*0.71*0.3-H42)*1.714</f>
        <v>20395075.196902331</v>
      </c>
      <c r="J42" s="2">
        <f>D42*F42*Oljepris!D42*0.879</f>
        <v>17171444.283779383</v>
      </c>
      <c r="K42" s="2">
        <f t="shared" si="1"/>
        <v>39754534.547024809</v>
      </c>
      <c r="L42" s="2">
        <f>SUM(I40:I42)+SUM(J40:J42)</f>
        <v>191965517.7866016</v>
      </c>
      <c r="M42" s="2">
        <f>SUM(H40:H42)</f>
        <v>13017724.254669515</v>
      </c>
      <c r="N42" s="2">
        <f t="shared" si="2"/>
        <v>204983242.04127112</v>
      </c>
      <c r="O42" s="2">
        <f>SUM(O40:O41)</f>
        <v>205600000</v>
      </c>
      <c r="R42" s="2">
        <f>SUM(Kurdistan!H41:H43)/3</f>
        <v>127308.87464263586</v>
      </c>
      <c r="S42">
        <v>115200</v>
      </c>
      <c r="T42" s="2"/>
      <c r="U42" s="2"/>
    </row>
    <row r="43" spans="1:21" x14ac:dyDescent="0.25">
      <c r="A43" s="1">
        <v>43922</v>
      </c>
      <c r="C43" s="8">
        <f>Kurdistan!R44</f>
        <v>107000</v>
      </c>
      <c r="D43" s="8">
        <f>'Norge-UK'!AA44</f>
        <v>18015.235660794609</v>
      </c>
      <c r="E43">
        <f>Oljepris!B43-13.15</f>
        <v>5.2299999999999986</v>
      </c>
      <c r="F43">
        <f>Oljepris!B43-1</f>
        <v>17.38</v>
      </c>
      <c r="G43" s="18"/>
      <c r="H43" s="2">
        <f>Kurdistan!H44*E43*Oljepris!D43*0.03</f>
        <v>575434.5647573747</v>
      </c>
      <c r="I43" s="2">
        <f>(C43*E43*Oljepris!D43*0.71*0.3-H43)*1.714</f>
        <v>5142811.296605858</v>
      </c>
      <c r="J43" s="2">
        <f>D43*F43*Oljepris!D43*0.879</f>
        <v>8256573.4648401728</v>
      </c>
      <c r="K43" s="2">
        <f t="shared" si="1"/>
        <v>13974819.326203406</v>
      </c>
      <c r="M43" t="s">
        <v>219</v>
      </c>
      <c r="N43" s="2">
        <f>SUM(H43:I45)</f>
        <v>49928675.830855235</v>
      </c>
      <c r="O43" s="2">
        <v>53800000</v>
      </c>
      <c r="P43" s="2"/>
      <c r="Q43" s="2"/>
      <c r="T43" s="2"/>
      <c r="U43" s="2"/>
    </row>
    <row r="44" spans="1:21" x14ac:dyDescent="0.25">
      <c r="A44" s="1">
        <v>43952</v>
      </c>
      <c r="C44" s="8">
        <f>Kurdistan!R45</f>
        <v>102000</v>
      </c>
      <c r="D44" s="8">
        <f>'Norge-UK'!AA45</f>
        <v>16214.750572642663</v>
      </c>
      <c r="E44">
        <f>Oljepris!B44-13.15</f>
        <v>16.229999999999997</v>
      </c>
      <c r="F44">
        <f>Oljepris!B44-1</f>
        <v>28.38</v>
      </c>
      <c r="G44" s="18"/>
      <c r="H44" s="2">
        <f>Kurdistan!H45*E44*Oljepris!D44*0.03</f>
        <v>1808336.6775975167</v>
      </c>
      <c r="I44" s="2">
        <f>(C44*E44*Oljepris!D44*0.71*0.3-H44)*1.714</f>
        <v>15636249.01391785</v>
      </c>
      <c r="J44" s="2">
        <f>D44*F44*Oljepris!D44*0.879</f>
        <v>12539298.254484816</v>
      </c>
      <c r="K44" s="2">
        <f t="shared" si="1"/>
        <v>29983883.946000181</v>
      </c>
      <c r="M44" t="s">
        <v>220</v>
      </c>
      <c r="N44" s="2">
        <f>SUM(J43:J45)</f>
        <v>36563508.806282379</v>
      </c>
      <c r="O44" s="2">
        <v>18300000</v>
      </c>
      <c r="T44" s="2"/>
      <c r="U44" s="2"/>
    </row>
    <row r="45" spans="1:21" x14ac:dyDescent="0.25">
      <c r="A45" s="1">
        <v>43983</v>
      </c>
      <c r="C45" s="8">
        <f>Kurdistan!R46</f>
        <v>97000</v>
      </c>
      <c r="D45" s="8">
        <f>'Norge-UK'!AA46</f>
        <v>15226.342146290961</v>
      </c>
      <c r="E45">
        <f>Oljepris!B45-13.15</f>
        <v>27.120000000000005</v>
      </c>
      <c r="F45">
        <f>Oljepris!B45-1</f>
        <v>39.270000000000003</v>
      </c>
      <c r="G45" s="18"/>
      <c r="H45" s="2">
        <f>Kurdistan!H46*E45*Oljepris!D45*0.03</f>
        <v>2865735.4291643775</v>
      </c>
      <c r="I45" s="2">
        <f>(C45*E45*Oljepris!D45*0.71*0.3-H45)*1.714</f>
        <v>23900108.84881226</v>
      </c>
      <c r="J45" s="2">
        <f>D45*F45*Oljepris!D45*0.879</f>
        <v>15767637.086957391</v>
      </c>
      <c r="K45" s="2">
        <f t="shared" si="1"/>
        <v>42533481.364934027</v>
      </c>
      <c r="L45" s="2">
        <f>SUM(I43:I45)+SUM(J43:J45)</f>
        <v>81242677.965618342</v>
      </c>
      <c r="M45" s="2">
        <f>SUM(H43:H45)</f>
        <v>5249506.6715192683</v>
      </c>
      <c r="N45" s="2">
        <f t="shared" si="2"/>
        <v>86492184.637137607</v>
      </c>
      <c r="O45" s="2">
        <f>SUM(O43:O44)</f>
        <v>72100000</v>
      </c>
      <c r="R45" s="2">
        <f>SUM(Kurdistan!H44:H46)/3</f>
        <v>119822.09434265172</v>
      </c>
      <c r="S45" s="2">
        <v>101965</v>
      </c>
      <c r="T45" s="2"/>
      <c r="U45" s="2"/>
    </row>
    <row r="46" spans="1:21" x14ac:dyDescent="0.25">
      <c r="A46" s="1">
        <v>44013</v>
      </c>
      <c r="C46" s="8">
        <f>Kurdistan!R47</f>
        <v>115000</v>
      </c>
      <c r="D46" s="8">
        <f>'Norge-UK'!AA47</f>
        <v>18246.837969669257</v>
      </c>
      <c r="E46">
        <f>Oljepris!B46-13.15</f>
        <v>30.090000000000003</v>
      </c>
      <c r="F46">
        <f>Oljepris!B46-1</f>
        <v>42.24</v>
      </c>
      <c r="G46" s="18"/>
      <c r="H46" s="2">
        <f>Kurdistan!H47*E46*Oljepris!D46*0.03</f>
        <v>3219846.0717193154</v>
      </c>
      <c r="I46" s="2">
        <f>(C46*E46*Oljepris!D46*0.71*0.3-H46)*1.364</f>
        <v>26773744.550374858</v>
      </c>
      <c r="J46" s="2">
        <f>D46*F46*Oljepris!D46*0.879</f>
        <v>21002069.630172264</v>
      </c>
      <c r="K46" s="2">
        <f t="shared" si="1"/>
        <v>50995660.252266437</v>
      </c>
      <c r="M46" t="s">
        <v>219</v>
      </c>
      <c r="N46" s="2">
        <f>SUM(H46:I48)</f>
        <v>83235478.520206988</v>
      </c>
      <c r="O46" s="2">
        <v>84900000</v>
      </c>
      <c r="T46" s="2"/>
      <c r="U46" s="2"/>
    </row>
    <row r="47" spans="1:21" x14ac:dyDescent="0.25">
      <c r="A47" s="1">
        <v>44044</v>
      </c>
      <c r="C47" s="8">
        <f>Kurdistan!R48</f>
        <v>113800</v>
      </c>
      <c r="D47" s="8">
        <f>'Norge-UK'!AA48</f>
        <v>16954.393303782461</v>
      </c>
      <c r="E47">
        <f>Oljepris!B47-13.15</f>
        <v>31.590000000000003</v>
      </c>
      <c r="F47">
        <f>Oljepris!B47-1</f>
        <v>43.74</v>
      </c>
      <c r="G47" s="18"/>
      <c r="H47" s="2">
        <f>Kurdistan!H48*E47*Oljepris!D47*0.03</f>
        <v>3312749.7061316352</v>
      </c>
      <c r="I47" s="2">
        <f>(C47*E47*Oljepris!D47*0.71*0.3-H47)*1.255</f>
        <v>25632938.661434796</v>
      </c>
      <c r="J47" s="2">
        <f>D47*F47*Oljepris!D47*0.879</f>
        <v>20207454.109514765</v>
      </c>
      <c r="K47" s="2">
        <f t="shared" si="1"/>
        <v>49153142.477081195</v>
      </c>
      <c r="M47" t="s">
        <v>220</v>
      </c>
      <c r="N47" s="2">
        <f>SUM(J46:J48)</f>
        <v>56695392.960200608</v>
      </c>
      <c r="O47" s="2">
        <v>78100000</v>
      </c>
      <c r="T47" s="2"/>
      <c r="U47" s="2"/>
    </row>
    <row r="48" spans="1:21" x14ac:dyDescent="0.25">
      <c r="A48" s="1">
        <v>44075</v>
      </c>
      <c r="C48" s="8">
        <f>Kurdistan!R49</f>
        <v>112300</v>
      </c>
      <c r="D48" s="8">
        <f>'Norge-UK'!AA49</f>
        <v>14714.439704459783</v>
      </c>
      <c r="E48">
        <f>Oljepris!B48-13.15</f>
        <v>27.759999999999998</v>
      </c>
      <c r="F48">
        <f>Oljepris!B48-1</f>
        <v>39.909999999999997</v>
      </c>
      <c r="G48" s="18"/>
      <c r="H48" s="2">
        <f>Kurdistan!H49*E48*Oljepris!D48*0.03</f>
        <v>2760858.1688377261</v>
      </c>
      <c r="I48" s="2">
        <f>(C48*E48*Oljepris!D48*0.71*0.3-H48)*1.255</f>
        <v>21535341.361708652</v>
      </c>
      <c r="J48" s="2">
        <f>D48*F48*Oljepris!D48*0.879</f>
        <v>15485869.220513584</v>
      </c>
      <c r="K48" s="2">
        <f t="shared" si="1"/>
        <v>39782068.751059964</v>
      </c>
      <c r="L48" s="2">
        <f>SUM(I46:I48)+SUM(J46:J48)</f>
        <v>130637417.53371891</v>
      </c>
      <c r="M48" s="2">
        <f>SUM(H46:H48)</f>
        <v>9293453.9466886763</v>
      </c>
      <c r="N48" s="2">
        <f t="shared" si="2"/>
        <v>139930871.4804076</v>
      </c>
      <c r="O48" s="2">
        <v>163000000</v>
      </c>
      <c r="R48" s="2">
        <f>SUM(Kurdistan!H47:H49)/3</f>
        <v>112775.59661854907</v>
      </c>
      <c r="S48">
        <v>113700</v>
      </c>
      <c r="T48" s="2"/>
      <c r="U48" s="2"/>
    </row>
    <row r="49" spans="1:24" x14ac:dyDescent="0.25">
      <c r="A49" s="1">
        <v>44105</v>
      </c>
      <c r="C49" s="8">
        <f>Kurdistan!R50</f>
        <v>111250</v>
      </c>
      <c r="D49" s="8">
        <f>'Norge-UK'!AA50</f>
        <v>14983.706051830541</v>
      </c>
      <c r="E49">
        <f>Oljepris!B49-13.15</f>
        <v>27.04</v>
      </c>
      <c r="F49">
        <f>Oljepris!B49-1</f>
        <v>39.19</v>
      </c>
      <c r="G49" s="18"/>
      <c r="H49" s="2">
        <f>Kurdistan!H50*E49*Oljepris!D49*0.03</f>
        <v>2723314.7411354529</v>
      </c>
      <c r="I49" s="2">
        <f>(C49*E49*Oljepris!D49*0.71*0.3-H49)*1.445</f>
        <v>24767054.146059271</v>
      </c>
      <c r="J49" s="2">
        <f>D49*F49*Oljepris!D49*0.879</f>
        <v>16000924.533226088</v>
      </c>
      <c r="K49" s="2">
        <f t="shared" si="1"/>
        <v>43491293.420420811</v>
      </c>
      <c r="M49" t="s">
        <v>219</v>
      </c>
      <c r="N49" s="2">
        <f>SUM(H49:I51)</f>
        <v>96334822.737429306</v>
      </c>
      <c r="O49" s="2">
        <v>95800000</v>
      </c>
      <c r="T49" s="2"/>
      <c r="U49" s="2"/>
    </row>
    <row r="50" spans="1:24" x14ac:dyDescent="0.25">
      <c r="A50" s="1">
        <v>44136</v>
      </c>
      <c r="C50" s="8">
        <f>Kurdistan!R51</f>
        <v>110160</v>
      </c>
      <c r="D50" s="8">
        <f>'Norge-UK'!AA51</f>
        <v>12877.985704758767</v>
      </c>
      <c r="E50">
        <f>Oljepris!B50-13.15</f>
        <v>29.54</v>
      </c>
      <c r="F50">
        <f>Oljepris!B50-1</f>
        <v>41.69</v>
      </c>
      <c r="G50" s="18"/>
      <c r="H50" s="2">
        <f>Kurdistan!H51*E50*Oljepris!D50*0.03</f>
        <v>2821546.9234614829</v>
      </c>
      <c r="I50" s="2">
        <f>(C50*E50*Oljepris!D50*0.71*0.3-H50)*1.66</f>
        <v>29834052.482413936</v>
      </c>
      <c r="J50" s="2">
        <f>D50*F50*Oljepris!D50*0.879</f>
        <v>14157610.617707834</v>
      </c>
      <c r="K50" s="2">
        <f t="shared" si="1"/>
        <v>46813210.023583248</v>
      </c>
      <c r="M50" t="s">
        <v>220</v>
      </c>
      <c r="N50" s="2">
        <f>SUM(J49:J51)</f>
        <v>52428670.500410289</v>
      </c>
      <c r="O50" s="2">
        <v>78400000</v>
      </c>
      <c r="T50" s="2"/>
      <c r="U50" s="2"/>
    </row>
    <row r="51" spans="1:24" x14ac:dyDescent="0.25">
      <c r="A51" s="1">
        <v>44166</v>
      </c>
      <c r="C51" s="8">
        <f>Kurdistan!R52</f>
        <v>109100</v>
      </c>
      <c r="D51" s="8">
        <f>'Norge-UK'!AA52</f>
        <v>16682.642690338798</v>
      </c>
      <c r="E51">
        <f>Oljepris!B51-13.15</f>
        <v>36.840000000000003</v>
      </c>
      <c r="F51">
        <f>Oljepris!B51-1</f>
        <v>48.99</v>
      </c>
      <c r="G51" s="18"/>
      <c r="H51" s="2">
        <f>Kurdistan!H52*E51*Oljepris!D51*0.03</f>
        <v>3563386.4359067404</v>
      </c>
      <c r="I51" s="2">
        <f>(C51*E51*Oljepris!D51*0.71*0.3-H51)*1.42</f>
        <v>32625468.00845243</v>
      </c>
      <c r="J51" s="2">
        <f>D51*F51*Oljepris!D51*0.879</f>
        <v>22270135.349476364</v>
      </c>
      <c r="K51" s="2">
        <f t="shared" si="1"/>
        <v>58458989.793835536</v>
      </c>
      <c r="L51" s="2">
        <f>SUM(I49:I51)+SUM(J49:J51)</f>
        <v>139655245.13733593</v>
      </c>
      <c r="M51" s="2">
        <f>SUM(H49:H51)</f>
        <v>9108248.1005036756</v>
      </c>
      <c r="N51" s="2">
        <f t="shared" si="2"/>
        <v>148763493.23783961</v>
      </c>
      <c r="O51" s="2">
        <f>SUM(O49:O50)</f>
        <v>174200000</v>
      </c>
      <c r="P51" s="2">
        <f>N42+N45+N48+N51</f>
        <v>580169791.39665592</v>
      </c>
      <c r="Q51" s="2">
        <f>O51+O48+O45+O42</f>
        <v>614900000</v>
      </c>
      <c r="R51" s="2">
        <f>SUM(Kurdistan!H50:H52)/3</f>
        <v>106143.48933260543</v>
      </c>
      <c r="S51">
        <v>110170</v>
      </c>
      <c r="T51" s="2">
        <f>SUM(C40:C51)/12</f>
        <v>110269.16666666667</v>
      </c>
      <c r="U51" s="2"/>
    </row>
    <row r="52" spans="1:24" x14ac:dyDescent="0.25">
      <c r="A52" s="1">
        <v>44197</v>
      </c>
      <c r="C52" s="8">
        <f>IF(Kurdistan!I53&gt;0,Kurdistan!I53,Kurdistan!C53)</f>
        <v>111500</v>
      </c>
      <c r="D52" s="8">
        <f>'Norge-UK'!AA53</f>
        <v>16289.549523461834</v>
      </c>
      <c r="E52">
        <f>Oljepris!B52-13.15</f>
        <v>41.620000000000005</v>
      </c>
      <c r="F52">
        <f>Oljepris!B52-1</f>
        <v>53.77</v>
      </c>
      <c r="G52" s="18">
        <v>4300000</v>
      </c>
      <c r="H52" s="19">
        <f>IF(Kurdistan!I53&gt;0,Kurdistan!I53*Estimat!E52*Oljepris!D52*0.03,Kurdistan!C53*Estimat!E52*Oljepris!D52*0.03)</f>
        <v>4315785.9000000004</v>
      </c>
      <c r="I52" s="19">
        <f>(C52*E52*Oljepris!D52*0.71*0.3-H52)*1.212</f>
        <v>31907468.315880001</v>
      </c>
      <c r="J52" s="2">
        <f>D52*F52*Oljepris!D52*0.879</f>
        <v>23867101.483057916</v>
      </c>
      <c r="K52" s="2">
        <f t="shared" si="1"/>
        <v>60074569.798937917</v>
      </c>
      <c r="M52" t="s">
        <v>219</v>
      </c>
      <c r="N52" s="2">
        <f>SUM(H52:I54)</f>
        <v>121271750.73159485</v>
      </c>
      <c r="V52" s="19">
        <f>IF(Oljepris!B52&gt;50,(Oljepris!B52-50)*0.5*C52*0.75*Oljepris!D52,0)</f>
        <v>6182814.3750000037</v>
      </c>
      <c r="X52" s="2">
        <f>V52</f>
        <v>6182814.3750000037</v>
      </c>
    </row>
    <row r="53" spans="1:24" x14ac:dyDescent="0.25">
      <c r="A53" s="1">
        <v>44228</v>
      </c>
      <c r="C53" s="8">
        <f>IF(Kurdistan!I54&gt;0,Kurdistan!I54,Kurdistan!C54)</f>
        <v>112000</v>
      </c>
      <c r="D53" s="8">
        <f>'Norge-UK'!AA54</f>
        <v>14555.02046352009</v>
      </c>
      <c r="E53">
        <f>Oljepris!B53-13.15</f>
        <v>49.11</v>
      </c>
      <c r="F53">
        <f>Oljepris!B53-1</f>
        <v>61.26</v>
      </c>
      <c r="G53" s="18">
        <v>4600000</v>
      </c>
      <c r="H53" s="2">
        <f>Kurdistan!H54*E53*Oljepris!D53*0.03</f>
        <v>4403603.474125118</v>
      </c>
      <c r="I53" s="19">
        <f>(C53*E53*Oljepris!D53*0.71*0.3-H53)*1.212</f>
        <v>34421169.667120352</v>
      </c>
      <c r="J53" s="2">
        <f>D53*F53*Oljepris!D53*0.879</f>
        <v>21945057.305086061</v>
      </c>
      <c r="K53" s="2">
        <f t="shared" si="1"/>
        <v>60966226.972206414</v>
      </c>
      <c r="M53" t="s">
        <v>220</v>
      </c>
      <c r="N53" s="2">
        <f>SUM(J52:J54)</f>
        <v>70904906.594267055</v>
      </c>
      <c r="O53" s="2"/>
      <c r="V53" s="19">
        <f>IF(Oljepris!B53&gt;50,(Oljepris!B53-50)*0.5*C53*0.75*Oljepris!D53,0)</f>
        <v>14417759.999999996</v>
      </c>
      <c r="X53" s="2">
        <f>X52+V53</f>
        <v>20600574.375</v>
      </c>
    </row>
    <row r="54" spans="1:24" x14ac:dyDescent="0.25">
      <c r="A54" s="1">
        <v>44256</v>
      </c>
      <c r="C54" s="8">
        <f>IF(Kurdistan!I55&gt;0,Kurdistan!I55,Kurdistan!C55)</f>
        <v>113100</v>
      </c>
      <c r="D54" s="8">
        <f>'Norge-UK'!AA55</f>
        <v>14296.981450369294</v>
      </c>
      <c r="E54">
        <f>Oljepris!B54-13.15</f>
        <v>52.26</v>
      </c>
      <c r="F54">
        <f>Oljepris!B54-1</f>
        <v>64.41</v>
      </c>
      <c r="G54" s="12"/>
      <c r="H54" s="2">
        <f>Kurdistan!H55*E54*Oljepris!D54*0.03</f>
        <v>5084373.1327670505</v>
      </c>
      <c r="I54" s="19">
        <f>(C54*E54*Oljepris!D54*0.71*0.3-H54)*1.212</f>
        <v>41139350.241702333</v>
      </c>
      <c r="J54" s="2">
        <f>D54*F54*Oljepris!D54*0.879</f>
        <v>25092747.806123078</v>
      </c>
      <c r="K54" s="2">
        <f t="shared" si="1"/>
        <v>71316471.180592462</v>
      </c>
      <c r="L54" s="2">
        <f>SUM(I52:I54)+SUM(J52:J54)</f>
        <v>178372894.81896973</v>
      </c>
      <c r="M54" s="2">
        <f>SUM(H52:H54)</f>
        <v>13803762.506892171</v>
      </c>
      <c r="N54" s="2">
        <f>L54+M54</f>
        <v>192176657.3258619</v>
      </c>
      <c r="V54" s="19">
        <f>IF(Oljepris!B54&gt;50,(Oljepris!B54-50)*0.5*C54*0.75*Oljepris!D54,0)</f>
        <v>20260875.374999993</v>
      </c>
      <c r="W54" s="2">
        <f>SUM(V52:V54)</f>
        <v>40861449.749999993</v>
      </c>
      <c r="X54" s="2">
        <f t="shared" ref="X54:X75" si="3">X53+V54</f>
        <v>40861449.749999993</v>
      </c>
    </row>
    <row r="55" spans="1:24" x14ac:dyDescent="0.25">
      <c r="A55" s="1">
        <v>44287</v>
      </c>
      <c r="C55" s="8">
        <f>IF(Kurdistan!I56&gt;0,Kurdistan!I56,Kurdistan!C56)</f>
        <v>115000</v>
      </c>
      <c r="D55" s="8">
        <f>'Norge-UK'!AA56</f>
        <v>14047.524961177014</v>
      </c>
      <c r="E55">
        <f>Oljepris!B55-13.15</f>
        <v>53.85</v>
      </c>
      <c r="F55">
        <f>Oljepris!B55-1</f>
        <v>66</v>
      </c>
      <c r="G55" s="12"/>
      <c r="H55" s="2">
        <f>Kurdistan!H56*E55*Oljepris!D55*0.03</f>
        <v>4968660.8521076161</v>
      </c>
      <c r="I55" s="19">
        <f>(C55*E55*Oljepris!D55*0.71*0.3-H55)*1.212</f>
        <v>41938850.11724557</v>
      </c>
      <c r="J55" s="2">
        <f>D55*F55*Oljepris!D55*0.879</f>
        <v>24448593.3929317</v>
      </c>
      <c r="K55" s="2">
        <f t="shared" si="1"/>
        <v>71356104.362284884</v>
      </c>
      <c r="M55" t="s">
        <v>219</v>
      </c>
      <c r="N55" s="2">
        <f>SUM(H55:I57)</f>
        <v>139288667.74848497</v>
      </c>
      <c r="V55" s="19">
        <f>IF(Oljepris!B55&gt;50,(Oljepris!B55-50)*0.5*C55*0.75*Oljepris!D55,0)</f>
        <v>21993750</v>
      </c>
      <c r="X55" s="2">
        <f t="shared" si="3"/>
        <v>62855199.749999993</v>
      </c>
    </row>
    <row r="56" spans="1:24" x14ac:dyDescent="0.25">
      <c r="A56" s="1">
        <v>44317</v>
      </c>
      <c r="C56" s="8">
        <f>IF(Kurdistan!I57&gt;0,Kurdistan!I57,Kurdistan!C57)</f>
        <v>112700</v>
      </c>
      <c r="D56" s="8">
        <f>'Norge-UK'!AA57</f>
        <v>13806.346158763556</v>
      </c>
      <c r="E56">
        <f>Oljepris!B56-13.15</f>
        <v>53.85</v>
      </c>
      <c r="F56">
        <f>Oljepris!B56-1</f>
        <v>66</v>
      </c>
      <c r="G56" s="12"/>
      <c r="H56" s="2">
        <f>Kurdistan!H57*E56*Oljepris!D56*0.03</f>
        <v>5382160.7229009802</v>
      </c>
      <c r="I56" s="19">
        <f>(C56*E56*Oljepris!D56*0.71*0.3-H56)*1.212</f>
        <v>42045192.590064004</v>
      </c>
      <c r="J56" s="2">
        <f>D56*F56*Oljepris!D56*0.879</f>
        <v>24829802.347689778</v>
      </c>
      <c r="K56" s="2">
        <f t="shared" si="1"/>
        <v>72257155.660654753</v>
      </c>
      <c r="M56" t="s">
        <v>220</v>
      </c>
      <c r="N56" s="2">
        <f>SUM(J55:J57)</f>
        <v>72901380.727053523</v>
      </c>
      <c r="V56" s="19">
        <f>IF(Oljepris!B56&gt;50,(Oljepris!B56-50)*0.5*C56*0.75*Oljepris!D56,0)</f>
        <v>22272337.5</v>
      </c>
      <c r="X56" s="2">
        <f t="shared" si="3"/>
        <v>85127537.25</v>
      </c>
    </row>
    <row r="57" spans="1:24" x14ac:dyDescent="0.25">
      <c r="A57" s="1">
        <v>44348</v>
      </c>
      <c r="C57" s="8">
        <f>IF(Kurdistan!I58&gt;0,Kurdistan!I58,Kurdistan!C58)</f>
        <v>110446</v>
      </c>
      <c r="D57" s="8">
        <f>'Norge-UK'!AA58</f>
        <v>13573.151875083049</v>
      </c>
      <c r="E57">
        <f>Oljepris!B57-13.15</f>
        <v>53.85</v>
      </c>
      <c r="F57">
        <f>Oljepris!B57-1</f>
        <v>66</v>
      </c>
      <c r="G57" s="12"/>
      <c r="H57" s="2">
        <f>Kurdistan!H58*E57*Oljepris!D57*0.03</f>
        <v>5225534.2823641552</v>
      </c>
      <c r="I57" s="19">
        <f>(C57*E57*Oljepris!D57*0.71*0.3-H57)*1.212</f>
        <v>39728269.183802642</v>
      </c>
      <c r="J57" s="2">
        <f>D57*F57*Oljepris!D57*0.879</f>
        <v>23622984.986432038</v>
      </c>
      <c r="K57" s="2">
        <f t="shared" si="1"/>
        <v>68576788.45259884</v>
      </c>
      <c r="L57" s="2">
        <f>SUM(I55:I57)+SUM(J55:J57)</f>
        <v>196613692.61816573</v>
      </c>
      <c r="M57" s="2">
        <f>SUM(H55:H57)</f>
        <v>15576355.857372753</v>
      </c>
      <c r="N57" s="2">
        <f>L57+M57</f>
        <v>212190048.47553849</v>
      </c>
      <c r="V57" s="19">
        <f>IF(Oljepris!B57&gt;50,(Oljepris!B57-50)*0.5*C57*0.75*Oljepris!D57,0)</f>
        <v>21122797.5</v>
      </c>
      <c r="W57" s="2">
        <f>SUM(V55:V57)</f>
        <v>65388885</v>
      </c>
      <c r="X57" s="2">
        <f t="shared" si="3"/>
        <v>106250334.75</v>
      </c>
    </row>
    <row r="58" spans="1:24" x14ac:dyDescent="0.25">
      <c r="A58" s="1">
        <v>44378</v>
      </c>
      <c r="C58" s="8">
        <f>IF(Kurdistan!I59&gt;0,Kurdistan!I59,Kurdistan!C59)</f>
        <v>108237.08</v>
      </c>
      <c r="D58" s="8">
        <f>'Norge-UK'!AA59</f>
        <v>13347.660158627363</v>
      </c>
      <c r="E58">
        <f>Oljepris!B58-13.15</f>
        <v>53.85</v>
      </c>
      <c r="F58">
        <f>Oljepris!B58-1</f>
        <v>66</v>
      </c>
      <c r="G58" s="12"/>
      <c r="H58" s="2">
        <f>Kurdistan!H59*E58*Oljepris!D58*0.03</f>
        <v>5416925.6332741007</v>
      </c>
      <c r="I58" s="19">
        <f>(C58*E58*Oljepris!D58*0.71*0.3-H58)*1.212</f>
        <v>40079750.01179748</v>
      </c>
      <c r="J58" s="2">
        <f>D58*F58*Oljepris!D58*0.879</f>
        <v>24004885.849720843</v>
      </c>
      <c r="K58" s="2">
        <f t="shared" si="1"/>
        <v>69501561.494792432</v>
      </c>
      <c r="M58" t="s">
        <v>219</v>
      </c>
      <c r="N58" s="2">
        <f>SUM(H58:I60)</f>
        <v>132343222.25259021</v>
      </c>
      <c r="V58" s="19">
        <f>IF(Oljepris!B58&gt;50,(Oljepris!B58-50)*0.5*C58*0.75*Oljepris!D58,0)</f>
        <v>21390352.934999999</v>
      </c>
      <c r="X58" s="2">
        <f t="shared" si="3"/>
        <v>127640687.685</v>
      </c>
    </row>
    <row r="59" spans="1:24" x14ac:dyDescent="0.25">
      <c r="A59" s="1">
        <v>44409</v>
      </c>
      <c r="C59" s="8">
        <f>IF(Kurdistan!I60&gt;0,Kurdistan!I60,Kurdistan!C60)</f>
        <v>106072.33840000001</v>
      </c>
      <c r="D59" s="8">
        <f>'Norge-UK'!AA60</f>
        <v>13129.599839577271</v>
      </c>
      <c r="E59">
        <f>Oljepris!B59-13.15</f>
        <v>53.85</v>
      </c>
      <c r="F59">
        <f>Oljepris!B59-1</f>
        <v>66</v>
      </c>
      <c r="G59" s="12"/>
      <c r="H59" s="2">
        <f>Kurdistan!H60*E59*Oljepris!D59*0.03</f>
        <v>5308587.1206086194</v>
      </c>
      <c r="I59" s="19">
        <f>(C59*E59*Oljepris!D59*0.71*0.3-H59)*1.212</f>
        <v>39278155.011561528</v>
      </c>
      <c r="J59" s="2">
        <f>D59*F59*Oljepris!D59*0.879</f>
        <v>23612718.75789031</v>
      </c>
      <c r="K59" s="2">
        <f t="shared" si="1"/>
        <v>68199460.890060455</v>
      </c>
      <c r="M59" t="s">
        <v>220</v>
      </c>
      <c r="N59" s="2">
        <f>SUM(J58:J60)</f>
        <v>70101586.060740799</v>
      </c>
      <c r="V59" s="19">
        <f>IF(Oljepris!B59&gt;50,(Oljepris!B59-50)*0.5*C59*0.75*Oljepris!D59,0)</f>
        <v>20962545.876300003</v>
      </c>
      <c r="X59" s="2">
        <f t="shared" si="3"/>
        <v>148603233.56130001</v>
      </c>
    </row>
    <row r="60" spans="1:24" x14ac:dyDescent="0.25">
      <c r="A60" s="1">
        <v>44440</v>
      </c>
      <c r="C60" s="8">
        <f>IF(Kurdistan!I61&gt;0,Kurdistan!I61,Kurdistan!C61)</f>
        <v>103950.89163200001</v>
      </c>
      <c r="D60" s="8">
        <f>'Norge-UK'!AA61</f>
        <v>12918.710112001496</v>
      </c>
      <c r="E60">
        <f>Oljepris!B60-13.15</f>
        <v>53.85</v>
      </c>
      <c r="F60">
        <f>Oljepris!B60-1</f>
        <v>66</v>
      </c>
      <c r="G60" s="12"/>
      <c r="H60" s="2">
        <f>Kurdistan!H61*E60*Oljepris!D60*0.03</f>
        <v>5155758.0272868825</v>
      </c>
      <c r="I60" s="19">
        <f>(C60*E60*Oljepris!D60*0.71*0.3-H60)*1.212</f>
        <v>37104046.448061585</v>
      </c>
      <c r="J60" s="2">
        <f>D60*F60*Oljepris!D60*0.879</f>
        <v>22483981.453129645</v>
      </c>
      <c r="K60" s="2">
        <f t="shared" si="1"/>
        <v>64743785.928478107</v>
      </c>
      <c r="L60" s="2">
        <f>SUM(I58:I60)+SUM(J58:J60)</f>
        <v>186563537.53216138</v>
      </c>
      <c r="M60" s="2">
        <f>SUM(H58:H60)</f>
        <v>15881270.781169605</v>
      </c>
      <c r="N60" s="2">
        <f>L60+M60</f>
        <v>202444808.31333098</v>
      </c>
      <c r="V60" s="19">
        <f>IF(Oljepris!B60&gt;50,(Oljepris!B60-50)*0.5*C60*0.75*Oljepris!D60,0)</f>
        <v>19880608.024620004</v>
      </c>
      <c r="W60" s="2">
        <f>SUM(V58:V60)</f>
        <v>62233506.835920006</v>
      </c>
      <c r="X60" s="2">
        <f t="shared" si="3"/>
        <v>168483841.58592001</v>
      </c>
    </row>
    <row r="61" spans="1:24" x14ac:dyDescent="0.25">
      <c r="A61" s="1">
        <v>44470</v>
      </c>
      <c r="C61" s="8">
        <f>IF(Kurdistan!I62&gt;0,Kurdistan!I62,Kurdistan!C62)</f>
        <v>101871.87379936001</v>
      </c>
      <c r="D61" s="8">
        <f>'Norge-UK'!AA62</f>
        <v>12714.740132431867</v>
      </c>
      <c r="E61">
        <f>Oljepris!B61-13.15</f>
        <v>53.85</v>
      </c>
      <c r="F61">
        <f>Oljepris!B61-1</f>
        <v>66</v>
      </c>
      <c r="G61" s="12"/>
      <c r="H61" s="2">
        <f>Kurdistan!H62*E61*Oljepris!D61*0.03</f>
        <v>5696829.045632517</v>
      </c>
      <c r="I61" s="19">
        <f>(C61*E61*Oljepris!D61*0.71*0.3-H61)*1.212</f>
        <v>36997404.159403689</v>
      </c>
      <c r="J61" s="2">
        <f>D61*F61*Oljepris!D61*0.879</f>
        <v>22866620.955329973</v>
      </c>
      <c r="K61" s="2">
        <f t="shared" si="1"/>
        <v>65560854.160366178</v>
      </c>
      <c r="M61" t="s">
        <v>219</v>
      </c>
      <c r="N61" s="2">
        <f>SUM(H61:I63)</f>
        <v>124161891.98847762</v>
      </c>
      <c r="V61" s="19">
        <f>IF(Oljepris!B61&gt;50,(Oljepris!B61-50)*0.5*C61*0.75*Oljepris!D61,0)</f>
        <v>20132429.05959852</v>
      </c>
      <c r="X61" s="2">
        <f t="shared" si="3"/>
        <v>188616270.64551854</v>
      </c>
    </row>
    <row r="62" spans="1:24" x14ac:dyDescent="0.25">
      <c r="A62" s="1">
        <v>44501</v>
      </c>
      <c r="C62" s="8">
        <f>IF(Kurdistan!I63&gt;0,Kurdistan!I63,Kurdistan!C63)</f>
        <v>99834.436323372807</v>
      </c>
      <c r="D62" s="8">
        <f>'Norge-UK'!AA63</f>
        <v>12517.448634169396</v>
      </c>
      <c r="E62">
        <f>Oljepris!B62-13.15</f>
        <v>53.85</v>
      </c>
      <c r="F62">
        <f>Oljepris!B62-1</f>
        <v>66</v>
      </c>
      <c r="G62" s="12"/>
      <c r="H62" s="2">
        <f>Kurdistan!H63*E62*Oljepris!D62*0.03</f>
        <v>5402799.1594063221</v>
      </c>
      <c r="I62" s="19">
        <f>(C62*E62*Oljepris!D62*0.71*0.3-H62)*1.212</f>
        <v>35087860.718918331</v>
      </c>
      <c r="J62" s="2">
        <f>D62*F62*Oljepris!D62*0.879</f>
        <v>21785617.951881099</v>
      </c>
      <c r="K62" s="2">
        <f t="shared" si="1"/>
        <v>62276277.830205753</v>
      </c>
      <c r="M62" t="s">
        <v>220</v>
      </c>
      <c r="N62" s="2">
        <f>SUM(J61:J63)</f>
        <v>66820821.848104075</v>
      </c>
      <c r="V62" s="19">
        <f>IF(Oljepris!B62&gt;50,(Oljepris!B62-50)*0.5*C62*0.75*Oljepris!D62,0)</f>
        <v>19093335.946845051</v>
      </c>
      <c r="X62" s="2">
        <f t="shared" si="3"/>
        <v>207709606.5923636</v>
      </c>
    </row>
    <row r="63" spans="1:24" x14ac:dyDescent="0.25">
      <c r="A63" s="1">
        <v>44531</v>
      </c>
      <c r="C63" s="8">
        <f>IF(Kurdistan!I64&gt;0,Kurdistan!I64,Kurdistan!C64)</f>
        <v>97837.747596905348</v>
      </c>
      <c r="D63" s="8">
        <f>'Norge-UK'!AA64</f>
        <v>12326.603556701557</v>
      </c>
      <c r="E63">
        <f>Oljepris!B63-13.15</f>
        <v>53.85</v>
      </c>
      <c r="F63">
        <f>Oljepris!B63-1</f>
        <v>66</v>
      </c>
      <c r="G63" s="12"/>
      <c r="H63" s="2">
        <f>Kurdistan!H64*E63*Oljepris!D63*0.03</f>
        <v>5596435.8654254694</v>
      </c>
      <c r="I63" s="19">
        <f>(C63*E63*Oljepris!D63*0.71*0.3-H63)*1.212</f>
        <v>35380563.039691307</v>
      </c>
      <c r="J63" s="2">
        <f>D63*F63*Oljepris!D63*0.879</f>
        <v>22168582.940893006</v>
      </c>
      <c r="K63" s="2">
        <f t="shared" si="1"/>
        <v>63145581.846009776</v>
      </c>
      <c r="L63" s="2">
        <f>SUM(I61:I63)+SUM(J61:J63)</f>
        <v>174286649.76611739</v>
      </c>
      <c r="M63" s="2">
        <f>SUM(H61:H63)</f>
        <v>16696064.070464307</v>
      </c>
      <c r="N63" s="2">
        <f>L63+M63</f>
        <v>190982713.83658171</v>
      </c>
      <c r="P63" s="2">
        <f>N54+N57+N60+N63</f>
        <v>797794227.95131314</v>
      </c>
      <c r="V63" s="19">
        <f>IF(Oljepris!B63&gt;50,(Oljepris!B63-50)*0.5*C63*0.75*Oljepris!D63,0)</f>
        <v>19335184.868838418</v>
      </c>
      <c r="W63" s="2">
        <f>SUM(V61:V63)</f>
        <v>58560949.87528199</v>
      </c>
      <c r="X63" s="2">
        <f t="shared" si="3"/>
        <v>227044791.46120203</v>
      </c>
    </row>
    <row r="64" spans="1:24" x14ac:dyDescent="0.25">
      <c r="A64" s="1">
        <v>44562</v>
      </c>
      <c r="C64" s="8">
        <f>IF(Kurdistan!I65&gt;0,Kurdistan!I65,Kurdistan!C65)</f>
        <v>95880.992644967235</v>
      </c>
      <c r="D64" s="8">
        <f>'Norge-UK'!AA65</f>
        <v>12141.981689635695</v>
      </c>
      <c r="E64">
        <f>Oljepris!B64-13.15</f>
        <v>51.85</v>
      </c>
      <c r="F64">
        <f>Oljepris!B64-1</f>
        <v>64</v>
      </c>
      <c r="G64" s="12"/>
      <c r="H64" s="2">
        <f>Kurdistan!H65*E64*Oljepris!D64*0.03</f>
        <v>5401362.682309458</v>
      </c>
      <c r="I64" s="19">
        <f>(C64*E64*Oljepris!D64*0.71*0.3-H64)*1.212</f>
        <v>33239083.152146414</v>
      </c>
      <c r="J64" s="2">
        <f>D64*F64*Oljepris!D64*0.879</f>
        <v>21174838.979896516</v>
      </c>
      <c r="K64" s="2">
        <f t="shared" si="1"/>
        <v>59815284.814352386</v>
      </c>
      <c r="M64" t="s">
        <v>219</v>
      </c>
      <c r="N64" s="2">
        <f>SUM(H64:I66)</f>
        <v>109905627.55963404</v>
      </c>
      <c r="V64" s="19">
        <f>IF(Oljepris!B64&gt;50,(Oljepris!B64-50)*0.5*C64*0.75*Oljepris!D64,0)</f>
        <v>16719248.092466159</v>
      </c>
      <c r="X64" s="2">
        <f t="shared" si="3"/>
        <v>243764039.55366817</v>
      </c>
    </row>
    <row r="65" spans="1:24" x14ac:dyDescent="0.25">
      <c r="A65" s="1">
        <v>44593</v>
      </c>
      <c r="C65" s="8">
        <f>IF(Kurdistan!I66&gt;0,Kurdistan!I66,Kurdistan!C66)</f>
        <v>93963.372792067894</v>
      </c>
      <c r="D65" s="8">
        <f>'Norge-UK'!AA66</f>
        <v>11963.368330576835</v>
      </c>
      <c r="E65">
        <f>Oljepris!B65-13.15</f>
        <v>51.85</v>
      </c>
      <c r="F65">
        <f>Oljepris!B65-1</f>
        <v>64</v>
      </c>
      <c r="G65" s="12"/>
      <c r="H65" s="2">
        <f>Kurdistan!H66*E65*Oljepris!D65*0.03</f>
        <v>4889962.1613732763</v>
      </c>
      <c r="I65" s="19">
        <f>(C65*E65*Oljepris!D65*0.71*0.3-H65)*1.212</f>
        <v>29289981.112093471</v>
      </c>
      <c r="J65" s="2">
        <f>D65*F65*Oljepris!D65*0.879</f>
        <v>18844314.966538053</v>
      </c>
      <c r="K65" s="2">
        <f t="shared" si="1"/>
        <v>53024258.240004808</v>
      </c>
      <c r="M65" t="s">
        <v>220</v>
      </c>
      <c r="N65" s="2">
        <f>SUM(J64:J66)</f>
        <v>60581130.682752609</v>
      </c>
      <c r="V65" s="19">
        <f>IF(Oljepris!B65&gt;50,(Oljepris!B65-50)*0.5*C65*0.75*Oljepris!D65,0)</f>
        <v>14799231.214750694</v>
      </c>
      <c r="X65" s="2">
        <f t="shared" si="3"/>
        <v>258563270.76841888</v>
      </c>
    </row>
    <row r="66" spans="1:24" x14ac:dyDescent="0.25">
      <c r="A66" s="1">
        <v>44621</v>
      </c>
      <c r="C66" s="8">
        <f>IF(Kurdistan!I67&gt;0,Kurdistan!I67,Kurdistan!C67)</f>
        <v>92084.105336226537</v>
      </c>
      <c r="D66" s="8">
        <f>'Norge-UK'!AA67</f>
        <v>11790.556956400942</v>
      </c>
      <c r="E66">
        <f>Oljepris!B66-13.15</f>
        <v>51.85</v>
      </c>
      <c r="F66">
        <f>Oljepris!B66-1</f>
        <v>64</v>
      </c>
      <c r="G66" s="12"/>
      <c r="H66" s="2">
        <f>Kurdistan!H67*E66*Oljepris!D66*0.03</f>
        <v>5305608.9450900042</v>
      </c>
      <c r="I66" s="19">
        <f>(C66*E66*Oljepris!D66*0.71*0.3-H66)*1.212</f>
        <v>31779629.506621417</v>
      </c>
      <c r="J66" s="2">
        <f>D66*F66*Oljepris!D66*0.879</f>
        <v>20561976.736318033</v>
      </c>
      <c r="K66" s="2">
        <f t="shared" si="1"/>
        <v>57647215.188029453</v>
      </c>
      <c r="L66" s="2">
        <f>SUM(I64:I66)+SUM(J64:J66)</f>
        <v>154889824.45361391</v>
      </c>
      <c r="M66" s="2">
        <f>SUM(H64:H66)</f>
        <v>15596933.788772739</v>
      </c>
      <c r="N66" s="2">
        <f>L66+M66</f>
        <v>170486758.24238664</v>
      </c>
      <c r="V66" s="19">
        <f>IF(Oljepris!B66&gt;50,(Oljepris!B66-50)*0.5*C66*0.75*Oljepris!D66,0)</f>
        <v>16057165.868004503</v>
      </c>
      <c r="W66" s="2">
        <f>SUM(V64:V66)</f>
        <v>47575645.175221354</v>
      </c>
      <c r="X66" s="2">
        <f t="shared" si="3"/>
        <v>274620436.63642341</v>
      </c>
    </row>
    <row r="67" spans="1:24" x14ac:dyDescent="0.25">
      <c r="A67" s="1">
        <v>44652</v>
      </c>
      <c r="C67" s="8">
        <f>IF(Kurdistan!I68&gt;0,Kurdistan!I68,Kurdistan!C68)</f>
        <v>90242.423229502005</v>
      </c>
      <c r="D67" s="8">
        <f>'Norge-UK'!AA68</f>
        <v>11623.348907396257</v>
      </c>
      <c r="E67">
        <f>Oljepris!B67-13.15</f>
        <v>51.85</v>
      </c>
      <c r="F67">
        <f>Oljepris!B67-1</f>
        <v>64</v>
      </c>
      <c r="G67" s="12"/>
      <c r="H67" s="2">
        <f>Kurdistan!H68*E67*Oljepris!D67*0.03</f>
        <v>5031771.0640531015</v>
      </c>
      <c r="I67" s="19">
        <f>(C67*E67*Oljepris!D67*0.71*0.3-H67)*1.212</f>
        <v>30139390.564344179</v>
      </c>
      <c r="J67" s="2">
        <f>D67*F67*Oljepris!D67*0.879</f>
        <v>19616493.484034516</v>
      </c>
      <c r="K67" s="2">
        <f t="shared" si="1"/>
        <v>54787655.112431794</v>
      </c>
      <c r="M67" t="s">
        <v>219</v>
      </c>
      <c r="N67" s="2">
        <f>SUM(H67:I69)</f>
        <v>104566208.26533365</v>
      </c>
      <c r="V67" s="19">
        <f>IF(Oljepris!B67&gt;50,(Oljepris!B67-50)*0.5*C67*0.75*Oljepris!D67,0)</f>
        <v>15228408.919978462</v>
      </c>
      <c r="X67" s="2">
        <f t="shared" si="3"/>
        <v>289848845.55640185</v>
      </c>
    </row>
    <row r="68" spans="1:24" x14ac:dyDescent="0.25">
      <c r="A68" s="1">
        <v>44682</v>
      </c>
      <c r="C68" s="8">
        <f>IF(Kurdistan!I69&gt;0,Kurdistan!I69,Kurdistan!C69)</f>
        <v>88437.574764911958</v>
      </c>
      <c r="D68" s="8">
        <f>'Norge-UK'!AA69</f>
        <v>11461.553083766292</v>
      </c>
      <c r="E68">
        <f>Oljepris!B68-13.15</f>
        <v>51.85</v>
      </c>
      <c r="F68">
        <f>Oljepris!B68-1</f>
        <v>64</v>
      </c>
      <c r="G68" s="12"/>
      <c r="H68" s="2">
        <f>Kurdistan!H69*E68*Oljepris!D68*0.03</f>
        <v>5095506.8308644397</v>
      </c>
      <c r="I68" s="19">
        <f>(C68*E68*Oljepris!D68*0.71*0.3-H68)*1.212</f>
        <v>30521156.178159196</v>
      </c>
      <c r="J68" s="2">
        <f>D68*F68*Oljepris!D68*0.879</f>
        <v>19988215.038691051</v>
      </c>
      <c r="K68" s="2">
        <f t="shared" si="1"/>
        <v>55604878.047714688</v>
      </c>
      <c r="M68" t="s">
        <v>220</v>
      </c>
      <c r="N68" s="2">
        <f>SUM(J67:J69)</f>
        <v>58683906.711281732</v>
      </c>
      <c r="V68" s="19">
        <f>IF(Oljepris!B68&gt;50,(Oljepris!B68-50)*0.5*C68*0.75*Oljepris!D68,0)</f>
        <v>15421302.099631522</v>
      </c>
      <c r="X68" s="2">
        <f t="shared" si="3"/>
        <v>305270147.6560334</v>
      </c>
    </row>
    <row r="69" spans="1:24" x14ac:dyDescent="0.25">
      <c r="A69" s="1">
        <v>44713</v>
      </c>
      <c r="C69" s="8">
        <f>IF(Kurdistan!I70&gt;0,Kurdistan!I70,Kurdistan!C70)</f>
        <v>86668.823269613713</v>
      </c>
      <c r="D69" s="8">
        <f>'Norge-UK'!AA70</f>
        <v>11304.985654007969</v>
      </c>
      <c r="E69">
        <f>Oljepris!B69-13.15</f>
        <v>51.85</v>
      </c>
      <c r="F69">
        <f>Oljepris!B69-1</f>
        <v>64</v>
      </c>
      <c r="G69" s="12"/>
      <c r="H69" s="2">
        <f>Kurdistan!H70*E69*Oljepris!D69*0.03</f>
        <v>4832512.9299165988</v>
      </c>
      <c r="I69" s="19">
        <f>(C69*E69*Oljepris!D69*0.71*0.3-H69)*1.212</f>
        <v>28945870.697996147</v>
      </c>
      <c r="J69" s="2">
        <f>D69*F69*Oljepris!D69*0.879</f>
        <v>19079198.188556168</v>
      </c>
      <c r="K69" s="2">
        <f t="shared" si="1"/>
        <v>52857581.816468909</v>
      </c>
      <c r="L69" s="2">
        <f>SUM(I67:I69)+SUM(J67:J69)</f>
        <v>148290324.15178126</v>
      </c>
      <c r="M69" s="2">
        <f>SUM(H67:H69)</f>
        <v>14959790.824834138</v>
      </c>
      <c r="N69" s="2">
        <f>L69+M69</f>
        <v>163250114.9766154</v>
      </c>
      <c r="V69" s="19">
        <f>IF(Oljepris!B69&gt;50,(Oljepris!B69-50)*0.5*C69*0.75*Oljepris!D69,0)</f>
        <v>14625363.926747313</v>
      </c>
      <c r="W69" s="2">
        <f>SUM(V67:V69)</f>
        <v>45275074.946357295</v>
      </c>
      <c r="X69" s="2">
        <f t="shared" si="3"/>
        <v>319895511.58278072</v>
      </c>
    </row>
    <row r="70" spans="1:24" x14ac:dyDescent="0.25">
      <c r="A70" s="1">
        <v>44743</v>
      </c>
      <c r="C70" s="8">
        <f>IF(Kurdistan!I71&gt;0,Kurdistan!I71,Kurdistan!C71)</f>
        <v>84935.446804221443</v>
      </c>
      <c r="D70" s="8">
        <f>'Norge-UK'!AA71</f>
        <v>11153.469774697727</v>
      </c>
      <c r="E70">
        <f>Oljepris!B70-13.15</f>
        <v>51.85</v>
      </c>
      <c r="F70">
        <f>Oljepris!B70-1</f>
        <v>64</v>
      </c>
      <c r="G70" s="12"/>
      <c r="H70" s="2">
        <f>Kurdistan!H71*E70*Oljepris!D70*0.03</f>
        <v>4893724.7603622079</v>
      </c>
      <c r="I70" s="19">
        <f>(C70*E70*Oljepris!D70*0.71*0.3-H70)*1.212</f>
        <v>29312518.393504098</v>
      </c>
      <c r="J70" s="2">
        <f>D70*F70*Oljepris!D70*0.879</f>
        <v>19450937.465007257</v>
      </c>
      <c r="K70" s="2">
        <f t="shared" si="1"/>
        <v>53657180.618873566</v>
      </c>
      <c r="M70" t="s">
        <v>219</v>
      </c>
      <c r="N70" s="2">
        <f>SUM(H70:I72)</f>
        <v>99520305.888177752</v>
      </c>
      <c r="V70" s="19">
        <f>IF(Oljepris!B70&gt;50,(Oljepris!B70-50)*0.5*C70*0.75*Oljepris!D70,0)</f>
        <v>14810618.536486113</v>
      </c>
      <c r="X70" s="2">
        <f t="shared" si="3"/>
        <v>334706130.11926681</v>
      </c>
    </row>
    <row r="71" spans="1:24" x14ac:dyDescent="0.25">
      <c r="A71" s="1">
        <v>44774</v>
      </c>
      <c r="C71" s="8">
        <f>IF(Kurdistan!I72&gt;0,Kurdistan!I72,Kurdistan!C72)</f>
        <v>83236.737868137017</v>
      </c>
      <c r="D71" s="8">
        <f>'Norge-UK'!AA72</f>
        <v>11006.835321236791</v>
      </c>
      <c r="E71">
        <f>Oljepris!B71-13.15</f>
        <v>51.85</v>
      </c>
      <c r="F71">
        <f>Oljepris!B71-1</f>
        <v>64</v>
      </c>
      <c r="G71" s="12"/>
      <c r="H71" s="2">
        <f>Kurdistan!H72*E71*Oljepris!D71*0.03</f>
        <v>4795850.2651549634</v>
      </c>
      <c r="I71" s="19">
        <f>(C71*E71*Oljepris!D71*0.71*0.3-H71)*1.212</f>
        <v>28726268.025634021</v>
      </c>
      <c r="J71" s="2">
        <f>D71*F71*Oljepris!D71*0.879</f>
        <v>19195216.362776402</v>
      </c>
      <c r="K71" s="2">
        <f t="shared" si="1"/>
        <v>52717334.653565392</v>
      </c>
      <c r="M71" t="s">
        <v>220</v>
      </c>
      <c r="N71" s="2">
        <f>SUM(J70:J72)</f>
        <v>56982659.699784666</v>
      </c>
      <c r="V71" s="19">
        <f>IF(Oljepris!B71&gt;50,(Oljepris!B71-50)*0.5*C71*0.75*Oljepris!D71,0)</f>
        <v>14514406.165756391</v>
      </c>
      <c r="X71" s="2">
        <f t="shared" si="3"/>
        <v>349220536.28502321</v>
      </c>
    </row>
    <row r="72" spans="1:24" x14ac:dyDescent="0.25">
      <c r="A72" s="1">
        <v>44805</v>
      </c>
      <c r="C72" s="8">
        <f>IF(Kurdistan!I73&gt;0,Kurdistan!I73,Kurdistan!C73)</f>
        <v>81572.003110774283</v>
      </c>
      <c r="D72" s="8">
        <f>'Norge-UK'!AA73</f>
        <v>10864.918629124602</v>
      </c>
      <c r="E72">
        <f>Oljepris!B72-13.15</f>
        <v>51.85</v>
      </c>
      <c r="F72">
        <f>Oljepris!B72-1</f>
        <v>64</v>
      </c>
      <c r="G72" s="12"/>
      <c r="H72" s="2">
        <f>Kurdistan!H73*E72*Oljepris!D72*0.03</f>
        <v>4548322.5095340619</v>
      </c>
      <c r="I72" s="19">
        <f>(C72*E72*Oljepris!D72*0.71*0.3-H72)*1.212</f>
        <v>27243621.933988392</v>
      </c>
      <c r="J72" s="2">
        <f>D72*F72*Oljepris!D72*0.879</f>
        <v>18336505.872001007</v>
      </c>
      <c r="K72" s="2">
        <f t="shared" si="1"/>
        <v>50128450.315523461</v>
      </c>
      <c r="L72" s="2">
        <f>SUM(I70:I72)+SUM(J70:J72)</f>
        <v>142265068.05291116</v>
      </c>
      <c r="M72" s="2">
        <f>SUM(H70:H72)</f>
        <v>14237897.535051234</v>
      </c>
      <c r="N72" s="2">
        <f>L72+M72</f>
        <v>156502965.58796239</v>
      </c>
      <c r="V72" s="19">
        <f>IF(Oljepris!B72&gt;50,(Oljepris!B72-50)*0.5*C72*0.75*Oljepris!D72,0)</f>
        <v>13765275.524943158</v>
      </c>
      <c r="W72" s="2">
        <f>SUM(V70:V72)</f>
        <v>43090300.227185667</v>
      </c>
      <c r="X72" s="2">
        <f t="shared" si="3"/>
        <v>362985811.80996639</v>
      </c>
    </row>
    <row r="73" spans="1:24" x14ac:dyDescent="0.25">
      <c r="A73" s="1">
        <v>44835</v>
      </c>
      <c r="C73" s="8">
        <f>IF(Kurdistan!I74&gt;0,Kurdistan!I74,Kurdistan!C74)</f>
        <v>79940.563048558804</v>
      </c>
      <c r="D73" s="8">
        <f>'Norge-UK'!AA74</f>
        <v>10727.562245346384</v>
      </c>
      <c r="E73">
        <f>Oljepris!B73-13.15</f>
        <v>51.85</v>
      </c>
      <c r="F73">
        <f>Oljepris!B73-1</f>
        <v>64</v>
      </c>
      <c r="G73" s="12"/>
      <c r="H73" s="2">
        <f>Kurdistan!H74*E73*Oljepris!D73*0.03</f>
        <v>4605934.5946548274</v>
      </c>
      <c r="I73" s="19">
        <f>(C73*E73*Oljepris!D73*0.71*0.3-H73)*1.212</f>
        <v>27588707.811818916</v>
      </c>
      <c r="J73" s="2">
        <f>D73*F73*Oljepris!D73*0.879</f>
        <v>18708181.991900392</v>
      </c>
      <c r="K73" s="2">
        <f t="shared" si="1"/>
        <v>50902824.39837414</v>
      </c>
      <c r="M73" t="s">
        <v>219</v>
      </c>
      <c r="N73" s="2">
        <f>SUM(H73:I75)</f>
        <v>93647360.417210087</v>
      </c>
      <c r="V73" s="19">
        <f>IF(Oljepris!B73&gt;50,(Oljepris!B73-50)*0.5*C73*0.75*Oljepris!D73,0)</f>
        <v>13939635.681592442</v>
      </c>
      <c r="X73" s="2">
        <f t="shared" si="3"/>
        <v>376925447.49155885</v>
      </c>
    </row>
    <row r="74" spans="1:24" x14ac:dyDescent="0.25">
      <c r="A74" s="1">
        <v>44866</v>
      </c>
      <c r="C74" s="8">
        <f>IF(Kurdistan!I75&gt;0,Kurdistan!I75,Kurdistan!C75)</f>
        <v>78341.751787587622</v>
      </c>
      <c r="D74" s="8">
        <f>'Norge-UK'!AA75</f>
        <v>10594.614689477199</v>
      </c>
      <c r="E74">
        <f>Oljepris!B74-13.15</f>
        <v>51.85</v>
      </c>
      <c r="F74">
        <f>Oljepris!B74-1</f>
        <v>64</v>
      </c>
      <c r="G74" s="12"/>
      <c r="H74" s="2">
        <f>Kurdistan!H75*E74*Oljepris!D74*0.03</f>
        <v>4368208.9381565126</v>
      </c>
      <c r="I74" s="19">
        <f>(C74*E74*Oljepris!D74*0.71*0.3-H74)*1.212</f>
        <v>26164774.505402453</v>
      </c>
      <c r="J74" s="2">
        <f>D74*F74*Oljepris!D74*0.879</f>
        <v>17880319.31913688</v>
      </c>
      <c r="K74" s="2">
        <f t="shared" si="1"/>
        <v>48413302.762695849</v>
      </c>
      <c r="M74" t="s">
        <v>220</v>
      </c>
      <c r="N74" s="2">
        <f>SUM(J73:J75)</f>
        <v>54840413.802369177</v>
      </c>
      <c r="V74" s="19">
        <f>IF(Oljepris!B74&gt;50,(Oljepris!B74-50)*0.5*C74*0.75*Oljepris!D74,0)</f>
        <v>13220170.614155412</v>
      </c>
      <c r="X74" s="2">
        <f t="shared" si="3"/>
        <v>390145618.10571426</v>
      </c>
    </row>
    <row r="75" spans="1:24" x14ac:dyDescent="0.25">
      <c r="A75" s="1">
        <v>44896</v>
      </c>
      <c r="C75" s="8">
        <f>IF(Kurdistan!I76&gt;0,Kurdistan!I76,Kurdistan!C76)</f>
        <v>76774.916751835874</v>
      </c>
      <c r="D75" s="8">
        <f>'Norge-UK'!AA76</f>
        <v>10465.930224120555</v>
      </c>
      <c r="E75">
        <f>Oljepris!B75-13.15</f>
        <v>51.85</v>
      </c>
      <c r="F75">
        <f>Oljepris!B75-1</f>
        <v>64</v>
      </c>
      <c r="G75" s="12"/>
      <c r="H75" s="2">
        <f>Kurdistan!H76*E75*Oljepris!D75*0.03</f>
        <v>4423539.5847064964</v>
      </c>
      <c r="I75" s="19">
        <f>(C75*E75*Oljepris!D75*0.71*0.3-H75)*1.212</f>
        <v>26496194.982470885</v>
      </c>
      <c r="J75" s="2">
        <f>D75*F75*Oljepris!D75*0.879</f>
        <v>18251912.491331905</v>
      </c>
      <c r="K75" s="2">
        <f t="shared" si="1"/>
        <v>49171647.05850929</v>
      </c>
      <c r="L75" s="2">
        <f>SUM(I73:I75)+SUM(J73:J75)</f>
        <v>135090091.10206145</v>
      </c>
      <c r="M75" s="2">
        <f>SUM(H73:H75)</f>
        <v>13397683.117517836</v>
      </c>
      <c r="N75" s="2">
        <f>L75+M75</f>
        <v>148487774.21957928</v>
      </c>
      <c r="P75" s="2">
        <f>N66+N69+N72+N75</f>
        <v>638727613.02654362</v>
      </c>
      <c r="V75" s="19">
        <f>IF(Oljepris!B75&gt;50,(Oljepris!B75-50)*0.5*C75*0.75*Oljepris!D75,0)</f>
        <v>13387626.10860138</v>
      </c>
      <c r="W75" s="2">
        <f>SUM(V73:V75)</f>
        <v>40547432.404349238</v>
      </c>
      <c r="X75" s="2">
        <f t="shared" si="3"/>
        <v>403533244.21431565</v>
      </c>
    </row>
    <row r="77" spans="1:24" x14ac:dyDescent="0.25">
      <c r="O77" s="2">
        <f>N52+N55+N58+N61</f>
        <v>517065532.72114766</v>
      </c>
      <c r="V77" s="2">
        <f>SUM(V52:V76)</f>
        <v>403533244.21431565</v>
      </c>
    </row>
  </sheetData>
  <mergeCells count="1">
    <mergeCell ref="R2:U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5"/>
  <sheetViews>
    <sheetView workbookViewId="0">
      <pane ySplit="2" topLeftCell="A39" activePane="bottomLeft" state="frozen"/>
      <selection pane="bottomLeft" activeCell="F54" sqref="F54"/>
    </sheetView>
  </sheetViews>
  <sheetFormatPr defaultRowHeight="15" x14ac:dyDescent="0.25"/>
  <sheetData>
    <row r="1" spans="1:12" x14ac:dyDescent="0.25">
      <c r="A1" t="s">
        <v>3</v>
      </c>
      <c r="D1" t="s">
        <v>4</v>
      </c>
    </row>
    <row r="2" spans="1:12" x14ac:dyDescent="0.25">
      <c r="A2" s="3" t="s">
        <v>6</v>
      </c>
    </row>
    <row r="4" spans="1:12" x14ac:dyDescent="0.25">
      <c r="A4" s="1">
        <v>42736</v>
      </c>
      <c r="B4">
        <v>54.58</v>
      </c>
      <c r="D4">
        <v>31</v>
      </c>
      <c r="F4" t="s">
        <v>35</v>
      </c>
      <c r="H4" s="12">
        <v>60</v>
      </c>
      <c r="J4" t="s">
        <v>40</v>
      </c>
      <c r="L4" s="16">
        <f>SUM(B4:B15)/12</f>
        <v>54.273333333333341</v>
      </c>
    </row>
    <row r="5" spans="1:12" x14ac:dyDescent="0.25">
      <c r="A5" s="1">
        <v>42767</v>
      </c>
      <c r="B5">
        <v>54.87</v>
      </c>
      <c r="D5">
        <v>28</v>
      </c>
      <c r="F5" t="s">
        <v>36</v>
      </c>
      <c r="H5" s="12">
        <v>55</v>
      </c>
      <c r="J5" t="s">
        <v>41</v>
      </c>
      <c r="L5" s="16">
        <f>SUM(B16:B27)/12</f>
        <v>71.022499999999994</v>
      </c>
    </row>
    <row r="6" spans="1:12" x14ac:dyDescent="0.25">
      <c r="A6" s="1">
        <v>42795</v>
      </c>
      <c r="B6">
        <v>51.9</v>
      </c>
      <c r="D6">
        <v>31</v>
      </c>
      <c r="F6" t="s">
        <v>37</v>
      </c>
      <c r="H6" s="12">
        <v>64</v>
      </c>
      <c r="J6" t="s">
        <v>42</v>
      </c>
      <c r="L6" s="16">
        <f>SUM(B28:B39)/12</f>
        <v>64.358333333333348</v>
      </c>
    </row>
    <row r="7" spans="1:12" x14ac:dyDescent="0.25">
      <c r="A7" s="1">
        <v>42826</v>
      </c>
      <c r="B7">
        <v>52.31</v>
      </c>
      <c r="D7">
        <v>30</v>
      </c>
      <c r="F7" t="s">
        <v>38</v>
      </c>
      <c r="H7" s="12">
        <v>54</v>
      </c>
      <c r="J7" t="s">
        <v>43</v>
      </c>
      <c r="L7" s="16">
        <f>SUM(B40:B51)/12</f>
        <v>41.774166666666666</v>
      </c>
    </row>
    <row r="8" spans="1:12" x14ac:dyDescent="0.25">
      <c r="A8" s="1">
        <v>42856</v>
      </c>
      <c r="B8">
        <v>50.33</v>
      </c>
      <c r="D8">
        <v>31</v>
      </c>
      <c r="F8" t="s">
        <v>226</v>
      </c>
      <c r="H8" s="12">
        <v>67</v>
      </c>
      <c r="J8" t="s">
        <v>228</v>
      </c>
      <c r="L8" s="16">
        <f>SUM(B52:B63)/12</f>
        <v>65.453333333333333</v>
      </c>
    </row>
    <row r="9" spans="1:12" x14ac:dyDescent="0.25">
      <c r="A9" s="1">
        <v>42887</v>
      </c>
      <c r="B9">
        <v>46.37</v>
      </c>
      <c r="D9">
        <v>30</v>
      </c>
      <c r="F9" t="s">
        <v>227</v>
      </c>
      <c r="H9" s="12">
        <v>65</v>
      </c>
      <c r="J9" t="s">
        <v>236</v>
      </c>
      <c r="L9" s="16">
        <f>SUM(B64:B75)/12</f>
        <v>65</v>
      </c>
    </row>
    <row r="10" spans="1:12" x14ac:dyDescent="0.25">
      <c r="A10" s="1">
        <v>42917</v>
      </c>
      <c r="B10">
        <v>48.48</v>
      </c>
      <c r="D10">
        <v>31</v>
      </c>
    </row>
    <row r="11" spans="1:12" x14ac:dyDescent="0.25">
      <c r="A11" s="1">
        <v>42948</v>
      </c>
      <c r="B11">
        <v>51.7</v>
      </c>
      <c r="D11">
        <v>31</v>
      </c>
    </row>
    <row r="12" spans="1:12" x14ac:dyDescent="0.25">
      <c r="A12" s="1">
        <v>42979</v>
      </c>
      <c r="B12">
        <v>56.15</v>
      </c>
      <c r="D12">
        <v>30</v>
      </c>
    </row>
    <row r="13" spans="1:12" x14ac:dyDescent="0.25">
      <c r="A13" s="1">
        <v>43009</v>
      </c>
      <c r="B13">
        <v>57.51</v>
      </c>
      <c r="D13">
        <v>31</v>
      </c>
    </row>
    <row r="14" spans="1:12" x14ac:dyDescent="0.25">
      <c r="A14" s="1">
        <v>43040</v>
      </c>
      <c r="B14">
        <v>62.71</v>
      </c>
      <c r="D14">
        <v>30</v>
      </c>
    </row>
    <row r="15" spans="1:12" x14ac:dyDescent="0.25">
      <c r="A15" s="1">
        <v>43070</v>
      </c>
      <c r="B15">
        <v>64.37</v>
      </c>
      <c r="D15">
        <v>31</v>
      </c>
      <c r="H15" s="16">
        <f>SUM(B4:B15)/12</f>
        <v>54.273333333333341</v>
      </c>
    </row>
    <row r="16" spans="1:12" x14ac:dyDescent="0.25">
      <c r="A16" s="1">
        <v>43101</v>
      </c>
      <c r="B16">
        <v>69.08</v>
      </c>
      <c r="D16">
        <v>31</v>
      </c>
    </row>
    <row r="17" spans="1:8" x14ac:dyDescent="0.25">
      <c r="A17" s="1">
        <v>43132</v>
      </c>
      <c r="B17">
        <v>65.319999999999993</v>
      </c>
      <c r="D17">
        <v>28</v>
      </c>
    </row>
    <row r="18" spans="1:8" x14ac:dyDescent="0.25">
      <c r="A18" s="1">
        <v>43160</v>
      </c>
      <c r="B18">
        <v>66.02</v>
      </c>
      <c r="D18">
        <v>31</v>
      </c>
      <c r="F18" s="16">
        <f>SUM(B16:B18)/3</f>
        <v>66.806666666666658</v>
      </c>
    </row>
    <row r="19" spans="1:8" x14ac:dyDescent="0.25">
      <c r="A19" s="1">
        <v>43191</v>
      </c>
      <c r="B19">
        <v>72.11</v>
      </c>
      <c r="D19">
        <v>30</v>
      </c>
    </row>
    <row r="20" spans="1:8" x14ac:dyDescent="0.25">
      <c r="A20" s="1">
        <v>43221</v>
      </c>
      <c r="B20">
        <v>76.97</v>
      </c>
      <c r="D20">
        <v>31</v>
      </c>
    </row>
    <row r="21" spans="1:8" x14ac:dyDescent="0.25">
      <c r="A21" s="1">
        <v>43252</v>
      </c>
      <c r="B21">
        <v>74.41</v>
      </c>
      <c r="D21">
        <v>30</v>
      </c>
      <c r="F21" s="16">
        <f>SUM(B19:B21)/3</f>
        <v>74.496666666666655</v>
      </c>
    </row>
    <row r="22" spans="1:8" x14ac:dyDescent="0.25">
      <c r="A22" s="1">
        <v>43282</v>
      </c>
      <c r="B22">
        <v>74.25</v>
      </c>
      <c r="D22">
        <v>31</v>
      </c>
    </row>
    <row r="23" spans="1:8" x14ac:dyDescent="0.25">
      <c r="A23" s="1">
        <v>43313</v>
      </c>
      <c r="B23">
        <v>72.53</v>
      </c>
      <c r="D23">
        <v>31</v>
      </c>
    </row>
    <row r="24" spans="1:8" x14ac:dyDescent="0.25">
      <c r="A24" s="1">
        <v>43344</v>
      </c>
      <c r="B24">
        <v>78.89</v>
      </c>
      <c r="D24">
        <v>30</v>
      </c>
      <c r="F24" s="16">
        <f>SUM(B22:B24)/3</f>
        <v>75.223333333333343</v>
      </c>
    </row>
    <row r="25" spans="1:8" x14ac:dyDescent="0.25">
      <c r="A25" s="1">
        <v>43374</v>
      </c>
      <c r="B25">
        <v>81.03</v>
      </c>
      <c r="D25">
        <v>31</v>
      </c>
    </row>
    <row r="26" spans="1:8" x14ac:dyDescent="0.25">
      <c r="A26" s="1">
        <v>43405</v>
      </c>
      <c r="B26">
        <v>64.75</v>
      </c>
      <c r="D26">
        <v>30</v>
      </c>
    </row>
    <row r="27" spans="1:8" x14ac:dyDescent="0.25">
      <c r="A27" s="1">
        <v>43435</v>
      </c>
      <c r="B27">
        <v>56.91</v>
      </c>
      <c r="D27">
        <v>31</v>
      </c>
      <c r="F27" s="16">
        <f>SUM(B25:B27)/3</f>
        <v>67.563333333333333</v>
      </c>
      <c r="H27" s="16">
        <f>SUM(B16:B27)/12</f>
        <v>71.022499999999994</v>
      </c>
    </row>
    <row r="28" spans="1:8" x14ac:dyDescent="0.25">
      <c r="A28" s="1">
        <v>43466</v>
      </c>
      <c r="B28">
        <v>59.41</v>
      </c>
      <c r="D28">
        <v>31</v>
      </c>
    </row>
    <row r="29" spans="1:8" x14ac:dyDescent="0.25">
      <c r="A29" s="1">
        <v>43497</v>
      </c>
      <c r="B29">
        <v>63.96</v>
      </c>
      <c r="D29">
        <v>28</v>
      </c>
    </row>
    <row r="30" spans="1:8" x14ac:dyDescent="0.25">
      <c r="A30" s="1">
        <v>43525</v>
      </c>
      <c r="B30">
        <v>66.14</v>
      </c>
      <c r="D30">
        <v>31</v>
      </c>
      <c r="F30" s="16">
        <f>SUM(B28:B30)/3</f>
        <v>63.169999999999995</v>
      </c>
    </row>
    <row r="31" spans="1:8" x14ac:dyDescent="0.25">
      <c r="A31" s="1">
        <v>43556</v>
      </c>
      <c r="B31">
        <v>71.23</v>
      </c>
      <c r="D31">
        <v>30</v>
      </c>
    </row>
    <row r="32" spans="1:8" x14ac:dyDescent="0.25">
      <c r="A32" s="1">
        <v>43586</v>
      </c>
      <c r="B32">
        <v>71.319999999999993</v>
      </c>
      <c r="D32">
        <v>31</v>
      </c>
    </row>
    <row r="33" spans="1:8" x14ac:dyDescent="0.25">
      <c r="A33" s="1">
        <v>43617</v>
      </c>
      <c r="B33">
        <v>64.22</v>
      </c>
      <c r="D33">
        <v>30</v>
      </c>
      <c r="F33" s="16">
        <f>SUM(B31:B33)/3</f>
        <v>68.923333333333332</v>
      </c>
    </row>
    <row r="34" spans="1:8" x14ac:dyDescent="0.25">
      <c r="A34" s="1">
        <v>43647</v>
      </c>
      <c r="B34">
        <v>63.92</v>
      </c>
      <c r="D34">
        <v>31</v>
      </c>
    </row>
    <row r="35" spans="1:8" x14ac:dyDescent="0.25">
      <c r="A35" s="1">
        <v>43678</v>
      </c>
      <c r="B35">
        <v>59.04</v>
      </c>
      <c r="D35">
        <v>31</v>
      </c>
    </row>
    <row r="36" spans="1:8" x14ac:dyDescent="0.25">
      <c r="A36" s="1">
        <v>43709</v>
      </c>
      <c r="B36">
        <v>62.83</v>
      </c>
      <c r="D36">
        <v>30</v>
      </c>
      <c r="F36" s="16">
        <f>SUM(B34:B36)/3</f>
        <v>61.930000000000007</v>
      </c>
    </row>
    <row r="37" spans="1:8" x14ac:dyDescent="0.25">
      <c r="A37" s="1">
        <v>43739</v>
      </c>
      <c r="B37">
        <v>59.71</v>
      </c>
      <c r="D37">
        <v>31</v>
      </c>
    </row>
    <row r="38" spans="1:8" x14ac:dyDescent="0.25">
      <c r="A38" s="1">
        <v>43770</v>
      </c>
      <c r="B38">
        <v>63.21</v>
      </c>
      <c r="D38">
        <v>30</v>
      </c>
    </row>
    <row r="39" spans="1:8" x14ac:dyDescent="0.25">
      <c r="A39" s="1">
        <v>43800</v>
      </c>
      <c r="B39">
        <v>67.31</v>
      </c>
      <c r="D39">
        <v>31</v>
      </c>
      <c r="F39" s="16">
        <f>SUM(B37:B39)/3</f>
        <v>63.410000000000004</v>
      </c>
      <c r="H39" s="16">
        <f>SUM(B28:B39)/12</f>
        <v>64.358333333333348</v>
      </c>
    </row>
    <row r="40" spans="1:8" x14ac:dyDescent="0.25">
      <c r="A40" s="1">
        <v>43831</v>
      </c>
      <c r="B40">
        <v>63.83</v>
      </c>
      <c r="D40">
        <v>31</v>
      </c>
    </row>
    <row r="41" spans="1:8" x14ac:dyDescent="0.25">
      <c r="A41" s="1">
        <v>43862</v>
      </c>
      <c r="B41">
        <v>55.66</v>
      </c>
      <c r="D41">
        <v>29</v>
      </c>
    </row>
    <row r="42" spans="1:8" x14ac:dyDescent="0.25">
      <c r="A42" s="1">
        <v>43891</v>
      </c>
      <c r="B42">
        <v>32.01</v>
      </c>
      <c r="D42">
        <v>31</v>
      </c>
      <c r="F42" s="16">
        <f>SUM(B40:B42)/3</f>
        <v>50.5</v>
      </c>
    </row>
    <row r="43" spans="1:8" x14ac:dyDescent="0.25">
      <c r="A43" s="1">
        <v>43922</v>
      </c>
      <c r="B43">
        <v>18.38</v>
      </c>
      <c r="D43">
        <v>30</v>
      </c>
    </row>
    <row r="44" spans="1:8" x14ac:dyDescent="0.25">
      <c r="A44" s="1">
        <v>43952</v>
      </c>
      <c r="B44">
        <v>29.38</v>
      </c>
      <c r="D44">
        <v>31</v>
      </c>
    </row>
    <row r="45" spans="1:8" x14ac:dyDescent="0.25">
      <c r="A45" s="1">
        <v>43983</v>
      </c>
      <c r="B45">
        <v>40.270000000000003</v>
      </c>
      <c r="D45">
        <v>30</v>
      </c>
      <c r="F45" s="16">
        <f>SUM(B43:B45)/3</f>
        <v>29.343333333333334</v>
      </c>
    </row>
    <row r="46" spans="1:8" x14ac:dyDescent="0.25">
      <c r="A46" s="1">
        <v>44013</v>
      </c>
      <c r="B46">
        <v>43.24</v>
      </c>
      <c r="D46">
        <v>31</v>
      </c>
    </row>
    <row r="47" spans="1:8" x14ac:dyDescent="0.25">
      <c r="A47" s="1">
        <v>44044</v>
      </c>
      <c r="B47">
        <v>44.74</v>
      </c>
      <c r="D47">
        <v>31</v>
      </c>
    </row>
    <row r="48" spans="1:8" x14ac:dyDescent="0.25">
      <c r="A48" s="1">
        <v>44075</v>
      </c>
      <c r="B48">
        <v>40.909999999999997</v>
      </c>
      <c r="D48">
        <v>30</v>
      </c>
      <c r="F48" s="16">
        <f>SUM(B46:B48)/3</f>
        <v>42.963333333333331</v>
      </c>
    </row>
    <row r="49" spans="1:8" x14ac:dyDescent="0.25">
      <c r="A49" s="1">
        <v>44105</v>
      </c>
      <c r="B49">
        <v>40.19</v>
      </c>
      <c r="D49">
        <v>31</v>
      </c>
    </row>
    <row r="50" spans="1:8" x14ac:dyDescent="0.25">
      <c r="A50" s="1">
        <v>44136</v>
      </c>
      <c r="B50">
        <v>42.69</v>
      </c>
      <c r="D50">
        <v>30</v>
      </c>
    </row>
    <row r="51" spans="1:8" x14ac:dyDescent="0.25">
      <c r="A51" s="1">
        <v>44166</v>
      </c>
      <c r="B51">
        <v>49.99</v>
      </c>
      <c r="D51">
        <v>31</v>
      </c>
      <c r="F51" s="16">
        <f>SUM(B49:B51)/3</f>
        <v>44.29</v>
      </c>
      <c r="H51" s="16">
        <f>SUM(B40:B51)/12</f>
        <v>41.774166666666666</v>
      </c>
    </row>
    <row r="52" spans="1:8" x14ac:dyDescent="0.25">
      <c r="A52" s="1">
        <v>44197</v>
      </c>
      <c r="B52">
        <v>54.77</v>
      </c>
      <c r="D52">
        <v>31</v>
      </c>
    </row>
    <row r="53" spans="1:8" x14ac:dyDescent="0.25">
      <c r="A53" s="1">
        <v>44228</v>
      </c>
      <c r="B53">
        <v>62.26</v>
      </c>
      <c r="D53">
        <v>28</v>
      </c>
    </row>
    <row r="54" spans="1:8" x14ac:dyDescent="0.25">
      <c r="A54" s="1">
        <v>44256</v>
      </c>
      <c r="B54">
        <v>65.41</v>
      </c>
      <c r="D54">
        <v>31</v>
      </c>
      <c r="F54" s="16">
        <f>SUM(B52:B54)/3</f>
        <v>60.813333333333333</v>
      </c>
    </row>
    <row r="55" spans="1:8" x14ac:dyDescent="0.25">
      <c r="A55" s="1">
        <v>44287</v>
      </c>
      <c r="B55">
        <f t="shared" ref="B55:B63" si="0">$H$8</f>
        <v>67</v>
      </c>
      <c r="D55">
        <v>30</v>
      </c>
    </row>
    <row r="56" spans="1:8" x14ac:dyDescent="0.25">
      <c r="A56" s="1">
        <v>44317</v>
      </c>
      <c r="B56">
        <f t="shared" si="0"/>
        <v>67</v>
      </c>
      <c r="D56">
        <v>31</v>
      </c>
    </row>
    <row r="57" spans="1:8" x14ac:dyDescent="0.25">
      <c r="A57" s="1">
        <v>44348</v>
      </c>
      <c r="B57">
        <f t="shared" si="0"/>
        <v>67</v>
      </c>
      <c r="D57">
        <v>30</v>
      </c>
    </row>
    <row r="58" spans="1:8" x14ac:dyDescent="0.25">
      <c r="A58" s="1">
        <v>44378</v>
      </c>
      <c r="B58">
        <f t="shared" si="0"/>
        <v>67</v>
      </c>
      <c r="D58">
        <v>31</v>
      </c>
    </row>
    <row r="59" spans="1:8" x14ac:dyDescent="0.25">
      <c r="A59" s="1">
        <v>44409</v>
      </c>
      <c r="B59">
        <f t="shared" si="0"/>
        <v>67</v>
      </c>
      <c r="D59">
        <v>31</v>
      </c>
    </row>
    <row r="60" spans="1:8" x14ac:dyDescent="0.25">
      <c r="A60" s="1">
        <v>44440</v>
      </c>
      <c r="B60">
        <f t="shared" si="0"/>
        <v>67</v>
      </c>
      <c r="D60">
        <v>30</v>
      </c>
    </row>
    <row r="61" spans="1:8" x14ac:dyDescent="0.25">
      <c r="A61" s="1">
        <v>44470</v>
      </c>
      <c r="B61">
        <f t="shared" si="0"/>
        <v>67</v>
      </c>
      <c r="D61">
        <v>31</v>
      </c>
    </row>
    <row r="62" spans="1:8" x14ac:dyDescent="0.25">
      <c r="A62" s="1">
        <v>44501</v>
      </c>
      <c r="B62">
        <f t="shared" si="0"/>
        <v>67</v>
      </c>
      <c r="D62">
        <v>30</v>
      </c>
    </row>
    <row r="63" spans="1:8" x14ac:dyDescent="0.25">
      <c r="A63" s="1">
        <v>44531</v>
      </c>
      <c r="B63">
        <f t="shared" si="0"/>
        <v>67</v>
      </c>
      <c r="D63">
        <v>31</v>
      </c>
    </row>
    <row r="64" spans="1:8" x14ac:dyDescent="0.25">
      <c r="A64" s="1">
        <v>44562</v>
      </c>
      <c r="B64">
        <f>$H$9</f>
        <v>65</v>
      </c>
      <c r="D64">
        <v>31</v>
      </c>
    </row>
    <row r="65" spans="1:4" x14ac:dyDescent="0.25">
      <c r="A65" s="1">
        <v>44593</v>
      </c>
      <c r="B65">
        <f t="shared" ref="B65:B75" si="1">$H$9</f>
        <v>65</v>
      </c>
      <c r="D65">
        <v>28</v>
      </c>
    </row>
    <row r="66" spans="1:4" x14ac:dyDescent="0.25">
      <c r="A66" s="1">
        <v>44621</v>
      </c>
      <c r="B66">
        <f t="shared" si="1"/>
        <v>65</v>
      </c>
      <c r="D66">
        <v>31</v>
      </c>
    </row>
    <row r="67" spans="1:4" x14ac:dyDescent="0.25">
      <c r="A67" s="1">
        <v>44652</v>
      </c>
      <c r="B67">
        <f t="shared" si="1"/>
        <v>65</v>
      </c>
      <c r="D67">
        <v>30</v>
      </c>
    </row>
    <row r="68" spans="1:4" x14ac:dyDescent="0.25">
      <c r="A68" s="1">
        <v>44682</v>
      </c>
      <c r="B68">
        <f t="shared" si="1"/>
        <v>65</v>
      </c>
      <c r="D68">
        <v>31</v>
      </c>
    </row>
    <row r="69" spans="1:4" x14ac:dyDescent="0.25">
      <c r="A69" s="1">
        <v>44713</v>
      </c>
      <c r="B69">
        <f t="shared" si="1"/>
        <v>65</v>
      </c>
      <c r="D69">
        <v>30</v>
      </c>
    </row>
    <row r="70" spans="1:4" x14ac:dyDescent="0.25">
      <c r="A70" s="1">
        <v>44743</v>
      </c>
      <c r="B70">
        <f t="shared" si="1"/>
        <v>65</v>
      </c>
      <c r="D70">
        <v>31</v>
      </c>
    </row>
    <row r="71" spans="1:4" x14ac:dyDescent="0.25">
      <c r="A71" s="1">
        <v>44774</v>
      </c>
      <c r="B71">
        <f t="shared" si="1"/>
        <v>65</v>
      </c>
      <c r="D71">
        <v>31</v>
      </c>
    </row>
    <row r="72" spans="1:4" x14ac:dyDescent="0.25">
      <c r="A72" s="1">
        <v>44805</v>
      </c>
      <c r="B72">
        <f t="shared" si="1"/>
        <v>65</v>
      </c>
      <c r="D72">
        <v>30</v>
      </c>
    </row>
    <row r="73" spans="1:4" x14ac:dyDescent="0.25">
      <c r="A73" s="1">
        <v>44835</v>
      </c>
      <c r="B73">
        <f t="shared" si="1"/>
        <v>65</v>
      </c>
      <c r="D73">
        <v>31</v>
      </c>
    </row>
    <row r="74" spans="1:4" x14ac:dyDescent="0.25">
      <c r="A74" s="1">
        <v>44866</v>
      </c>
      <c r="B74">
        <f t="shared" si="1"/>
        <v>65</v>
      </c>
      <c r="D74">
        <v>30</v>
      </c>
    </row>
    <row r="75" spans="1:4" x14ac:dyDescent="0.25">
      <c r="A75" s="1">
        <v>44896</v>
      </c>
      <c r="B75">
        <f t="shared" si="1"/>
        <v>65</v>
      </c>
      <c r="D75">
        <v>31</v>
      </c>
    </row>
  </sheetData>
  <phoneticPr fontId="5" type="noConversion"/>
  <hyperlinks>
    <hyperlink ref="A2" r:id="rId1" xr:uid="{00000000-0004-0000-0100-000000000000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81"/>
  <sheetViews>
    <sheetView workbookViewId="0">
      <pane ySplit="3" topLeftCell="A38" activePane="bottomLeft" state="frozen"/>
      <selection pane="bottomLeft" activeCell="I57" sqref="I57"/>
    </sheetView>
  </sheetViews>
  <sheetFormatPr defaultRowHeight="15" x14ac:dyDescent="0.25"/>
  <cols>
    <col min="2" max="2" width="15.5703125" customWidth="1"/>
    <col min="3" max="3" width="14.5703125" customWidth="1"/>
    <col min="4" max="4" width="22.42578125" customWidth="1"/>
    <col min="5" max="5" width="11.42578125" customWidth="1"/>
    <col min="6" max="6" width="8" customWidth="1"/>
    <col min="7" max="7" width="10.28515625" customWidth="1"/>
    <col min="8" max="8" width="11.140625" style="10" customWidth="1"/>
    <col min="9" max="9" width="11.28515625" customWidth="1"/>
    <col min="10" max="10" width="8.42578125" customWidth="1"/>
    <col min="11" max="11" width="14.5703125" customWidth="1"/>
    <col min="13" max="13" width="18.140625" customWidth="1"/>
    <col min="14" max="14" width="11.7109375" customWidth="1"/>
    <col min="15" max="15" width="11.140625" customWidth="1"/>
    <col min="16" max="16" width="9.7109375" style="10" customWidth="1"/>
    <col min="17" max="17" width="7.7109375" customWidth="1"/>
    <col min="18" max="18" width="10.85546875" customWidth="1"/>
  </cols>
  <sheetData>
    <row r="1" spans="1:18" x14ac:dyDescent="0.25">
      <c r="A1" s="6" t="s">
        <v>11</v>
      </c>
      <c r="B1" t="s">
        <v>13</v>
      </c>
      <c r="C1" s="4">
        <v>0.02</v>
      </c>
      <c r="D1" s="7" t="s">
        <v>17</v>
      </c>
      <c r="E1" s="5" t="s">
        <v>57</v>
      </c>
      <c r="F1" s="5" t="s">
        <v>16</v>
      </c>
      <c r="G1" s="5" t="s">
        <v>58</v>
      </c>
      <c r="J1" s="6" t="s">
        <v>14</v>
      </c>
      <c r="K1" t="s">
        <v>13</v>
      </c>
      <c r="L1" s="4">
        <v>0.01</v>
      </c>
      <c r="M1" s="5" t="s">
        <v>17</v>
      </c>
      <c r="N1" s="5" t="s">
        <v>18</v>
      </c>
      <c r="O1" s="5" t="s">
        <v>19</v>
      </c>
    </row>
    <row r="2" spans="1:18" x14ac:dyDescent="0.25">
      <c r="C2" s="5"/>
      <c r="D2" s="5"/>
      <c r="E2" s="9">
        <v>2500</v>
      </c>
      <c r="F2" s="9">
        <v>500</v>
      </c>
      <c r="G2" s="9">
        <v>7000</v>
      </c>
      <c r="L2" s="5"/>
      <c r="M2" s="5"/>
      <c r="N2" s="9">
        <v>3000</v>
      </c>
      <c r="O2" s="9">
        <v>3000</v>
      </c>
    </row>
    <row r="3" spans="1:18" s="13" customFormat="1" x14ac:dyDescent="0.25">
      <c r="A3" s="13" t="s">
        <v>7</v>
      </c>
      <c r="B3" s="13" t="s">
        <v>8</v>
      </c>
      <c r="C3" s="13" t="s">
        <v>21</v>
      </c>
      <c r="D3" s="13" t="s">
        <v>15</v>
      </c>
      <c r="G3" s="22"/>
      <c r="H3" s="14" t="s">
        <v>10</v>
      </c>
      <c r="I3" s="13" t="s">
        <v>12</v>
      </c>
      <c r="K3" s="13" t="s">
        <v>8</v>
      </c>
      <c r="L3" s="13" t="s">
        <v>9</v>
      </c>
      <c r="M3" s="13" t="s">
        <v>15</v>
      </c>
      <c r="P3" s="14" t="s">
        <v>10</v>
      </c>
      <c r="Q3" s="13" t="s">
        <v>12</v>
      </c>
      <c r="R3" s="15" t="s">
        <v>26</v>
      </c>
    </row>
    <row r="5" spans="1:18" x14ac:dyDescent="0.25">
      <c r="A5" s="1">
        <v>42736</v>
      </c>
      <c r="B5">
        <v>109546</v>
      </c>
      <c r="C5" s="8">
        <f>B5-(B5*$C$1)</f>
        <v>107355.08</v>
      </c>
      <c r="D5" t="s">
        <v>20</v>
      </c>
      <c r="E5">
        <v>0</v>
      </c>
      <c r="F5">
        <v>0</v>
      </c>
      <c r="G5">
        <v>0</v>
      </c>
      <c r="H5" s="11">
        <f>C5+(E5*$E$2)+(F5*$F$2)</f>
        <v>107355.08</v>
      </c>
      <c r="I5" s="2">
        <v>112537</v>
      </c>
      <c r="K5">
        <v>0</v>
      </c>
      <c r="L5" s="8">
        <f>K5-(K5*$L$1)</f>
        <v>0</v>
      </c>
      <c r="P5" s="11">
        <f>L5+(N5*$N$2)+(O5*$O$2)</f>
        <v>0</v>
      </c>
      <c r="Q5">
        <v>0</v>
      </c>
      <c r="R5" s="8">
        <f>IF(I5=0,H5+P5,I5+Q5)</f>
        <v>112537</v>
      </c>
    </row>
    <row r="6" spans="1:18" x14ac:dyDescent="0.25">
      <c r="A6" s="1">
        <v>42767</v>
      </c>
      <c r="B6" s="8">
        <f>IF(I5=0,H5,I5)</f>
        <v>112537</v>
      </c>
      <c r="C6" s="8">
        <f t="shared" ref="C6:C52" si="0">B6-(B6*$C$1)</f>
        <v>110286.26</v>
      </c>
      <c r="D6" t="s">
        <v>20</v>
      </c>
      <c r="E6">
        <v>0</v>
      </c>
      <c r="F6">
        <v>0</v>
      </c>
      <c r="G6">
        <v>0</v>
      </c>
      <c r="H6" s="11">
        <f t="shared" ref="H6:H11" si="1">H5-(H5*$C$1)+(E6*$E$2)+(F6*$F$2)</f>
        <v>105207.97840000001</v>
      </c>
      <c r="I6" s="2">
        <v>110641</v>
      </c>
      <c r="K6" s="8">
        <f>IF(Q5=0,P5,Q5)</f>
        <v>0</v>
      </c>
      <c r="L6" s="8">
        <f t="shared" ref="L6:L52" si="2">K6-(K6*$L$1)</f>
        <v>0</v>
      </c>
      <c r="P6" s="11">
        <f t="shared" ref="P6:P18" si="3">L6+(N6*$N$2)+(O6*$O$2)</f>
        <v>0</v>
      </c>
      <c r="R6" s="8">
        <f t="shared" ref="R6:R28" si="4">IF(I6=0,H6+P6,I6+Q6)</f>
        <v>110641</v>
      </c>
    </row>
    <row r="7" spans="1:18" x14ac:dyDescent="0.25">
      <c r="A7" s="1">
        <v>42795</v>
      </c>
      <c r="B7" s="8">
        <f t="shared" ref="B7:B28" si="5">IF(I6=0,H6,I6)</f>
        <v>110641</v>
      </c>
      <c r="C7" s="8">
        <f t="shared" si="0"/>
        <v>108428.18</v>
      </c>
      <c r="D7" t="s">
        <v>20</v>
      </c>
      <c r="E7">
        <v>0</v>
      </c>
      <c r="F7">
        <v>0</v>
      </c>
      <c r="G7">
        <v>0</v>
      </c>
      <c r="H7" s="11">
        <f t="shared" si="1"/>
        <v>103103.818832</v>
      </c>
      <c r="I7" s="2">
        <v>108513</v>
      </c>
      <c r="K7" s="8">
        <f t="shared" ref="K7:K27" si="6">IF(Q6=0,P6,Q6)</f>
        <v>0</v>
      </c>
      <c r="L7" s="8">
        <f t="shared" si="2"/>
        <v>0</v>
      </c>
      <c r="P7" s="11">
        <f t="shared" si="3"/>
        <v>0</v>
      </c>
      <c r="R7" s="8">
        <f t="shared" si="4"/>
        <v>108513</v>
      </c>
    </row>
    <row r="8" spans="1:18" x14ac:dyDescent="0.25">
      <c r="A8" s="1">
        <v>42826</v>
      </c>
      <c r="B8" s="8">
        <f t="shared" si="5"/>
        <v>108513</v>
      </c>
      <c r="C8" s="8">
        <f t="shared" si="0"/>
        <v>106342.74</v>
      </c>
      <c r="D8" t="s">
        <v>20</v>
      </c>
      <c r="E8">
        <v>0</v>
      </c>
      <c r="F8">
        <v>0</v>
      </c>
      <c r="G8">
        <v>0</v>
      </c>
      <c r="H8" s="11">
        <f t="shared" si="1"/>
        <v>101041.74245536</v>
      </c>
      <c r="I8" s="2">
        <v>108519</v>
      </c>
      <c r="K8" s="8">
        <f t="shared" si="6"/>
        <v>0</v>
      </c>
      <c r="L8" s="8">
        <f t="shared" si="2"/>
        <v>0</v>
      </c>
      <c r="P8" s="11">
        <f t="shared" si="3"/>
        <v>0</v>
      </c>
      <c r="R8" s="8">
        <f t="shared" si="4"/>
        <v>108519</v>
      </c>
    </row>
    <row r="9" spans="1:18" x14ac:dyDescent="0.25">
      <c r="A9" s="1">
        <v>42856</v>
      </c>
      <c r="B9" s="8">
        <f t="shared" si="5"/>
        <v>108519</v>
      </c>
      <c r="C9" s="8">
        <f t="shared" si="0"/>
        <v>106348.62</v>
      </c>
      <c r="D9" t="s">
        <v>22</v>
      </c>
      <c r="E9">
        <v>1</v>
      </c>
      <c r="F9">
        <v>0</v>
      </c>
      <c r="G9">
        <v>0</v>
      </c>
      <c r="H9" s="11">
        <f t="shared" si="1"/>
        <v>101520.9076062528</v>
      </c>
      <c r="I9" s="2">
        <f>IF(Estimat!G8=0,0,Estimat!G8/0.05/Oljepris!D8/(Oljepris!B8-12))</f>
        <v>107554.93465069894</v>
      </c>
      <c r="K9" s="8">
        <f t="shared" si="6"/>
        <v>0</v>
      </c>
      <c r="L9" s="8">
        <f t="shared" si="2"/>
        <v>0</v>
      </c>
      <c r="P9" s="11">
        <f t="shared" si="3"/>
        <v>0</v>
      </c>
      <c r="R9" s="8">
        <f t="shared" si="4"/>
        <v>107554.93465069894</v>
      </c>
    </row>
    <row r="10" spans="1:18" x14ac:dyDescent="0.25">
      <c r="A10" s="1">
        <v>42887</v>
      </c>
      <c r="B10" s="8">
        <f t="shared" si="5"/>
        <v>107554.93465069894</v>
      </c>
      <c r="C10" s="8">
        <f t="shared" si="0"/>
        <v>105403.83595768496</v>
      </c>
      <c r="D10" t="s">
        <v>23</v>
      </c>
      <c r="E10">
        <v>0</v>
      </c>
      <c r="F10">
        <v>2</v>
      </c>
      <c r="G10">
        <v>0</v>
      </c>
      <c r="H10" s="11">
        <f t="shared" si="1"/>
        <v>100490.48945412775</v>
      </c>
      <c r="I10" s="2">
        <f>IF(Estimat!G9=0,0,Estimat!G9/0.05/Oljepris!D9/(Oljepris!B9-12))</f>
        <v>105660.26573562216</v>
      </c>
      <c r="K10" s="8">
        <f t="shared" si="6"/>
        <v>0</v>
      </c>
      <c r="L10" s="8">
        <f t="shared" si="2"/>
        <v>0</v>
      </c>
      <c r="P10" s="11">
        <f t="shared" si="3"/>
        <v>0</v>
      </c>
      <c r="R10" s="8">
        <f t="shared" si="4"/>
        <v>105660.26573562216</v>
      </c>
    </row>
    <row r="11" spans="1:18" x14ac:dyDescent="0.25">
      <c r="A11" s="1">
        <v>42917</v>
      </c>
      <c r="B11" s="8">
        <f t="shared" si="5"/>
        <v>105660.26573562216</v>
      </c>
      <c r="C11" s="8">
        <f t="shared" si="0"/>
        <v>103547.06042090972</v>
      </c>
      <c r="D11" t="s">
        <v>24</v>
      </c>
      <c r="E11">
        <v>2</v>
      </c>
      <c r="F11">
        <v>0</v>
      </c>
      <c r="G11">
        <v>0</v>
      </c>
      <c r="H11" s="11">
        <f t="shared" si="1"/>
        <v>103480.67966504519</v>
      </c>
      <c r="I11" s="2">
        <f>IF(Estimat!G10=0,0,Estimat!G10/0.05/Oljepris!D10/(Oljepris!B10-12))</f>
        <v>112521.5053763441</v>
      </c>
      <c r="K11" s="8">
        <f t="shared" si="6"/>
        <v>0</v>
      </c>
      <c r="L11" s="8">
        <f t="shared" si="2"/>
        <v>0</v>
      </c>
      <c r="P11" s="11">
        <f t="shared" si="3"/>
        <v>0</v>
      </c>
      <c r="R11" s="8">
        <f t="shared" si="4"/>
        <v>112521.5053763441</v>
      </c>
    </row>
    <row r="12" spans="1:18" x14ac:dyDescent="0.25">
      <c r="A12" s="1">
        <v>42948</v>
      </c>
      <c r="B12" s="8">
        <f t="shared" si="5"/>
        <v>112521.5053763441</v>
      </c>
      <c r="C12" s="8">
        <f t="shared" si="0"/>
        <v>110271.07526881721</v>
      </c>
      <c r="D12" t="s">
        <v>25</v>
      </c>
      <c r="E12">
        <v>0</v>
      </c>
      <c r="F12">
        <v>0</v>
      </c>
      <c r="G12">
        <v>0</v>
      </c>
      <c r="H12" s="11">
        <f>H11-(H11*$C$1)+(E12*$E$2)+(F12*$F$2)+(G12*$G$2)</f>
        <v>101411.06607174428</v>
      </c>
      <c r="I12" s="2">
        <f>IF(Estimat!G11=0,0,Estimat!G11/0.03/Oljepris!D11/(Oljepris!B11-12))</f>
        <v>108881.12456325669</v>
      </c>
      <c r="K12" s="8">
        <f t="shared" si="6"/>
        <v>0</v>
      </c>
      <c r="L12" s="8">
        <f t="shared" si="2"/>
        <v>0</v>
      </c>
      <c r="P12" s="11">
        <f t="shared" si="3"/>
        <v>0</v>
      </c>
      <c r="R12" s="8">
        <f t="shared" si="4"/>
        <v>108881.12456325669</v>
      </c>
    </row>
    <row r="13" spans="1:18" x14ac:dyDescent="0.25">
      <c r="A13" s="1">
        <v>42979</v>
      </c>
      <c r="B13" s="8">
        <f t="shared" si="5"/>
        <v>108881.12456325669</v>
      </c>
      <c r="C13" s="8">
        <f t="shared" si="0"/>
        <v>106703.50207199155</v>
      </c>
      <c r="D13" t="s">
        <v>49</v>
      </c>
      <c r="E13">
        <v>1</v>
      </c>
      <c r="F13">
        <v>0</v>
      </c>
      <c r="G13">
        <v>0</v>
      </c>
      <c r="H13" s="11">
        <f t="shared" ref="H13:H76" si="7">H12-(H12*$C$1)+(E13*$E$2)+(F13*$F$2)+(G13*$G$2)</f>
        <v>101882.84475030939</v>
      </c>
      <c r="I13" s="2">
        <f>IF(Estimat!G12=0,0,Estimat!G12/0.03/Oljepris!D12/(Oljepris!B12-12))</f>
        <v>107378.02944507361</v>
      </c>
      <c r="K13" s="8">
        <f t="shared" si="6"/>
        <v>0</v>
      </c>
      <c r="L13" s="8">
        <f t="shared" si="2"/>
        <v>0</v>
      </c>
      <c r="P13" s="11">
        <f t="shared" si="3"/>
        <v>0</v>
      </c>
      <c r="R13" s="8">
        <f t="shared" si="4"/>
        <v>107378.02944507361</v>
      </c>
    </row>
    <row r="14" spans="1:18" x14ac:dyDescent="0.25">
      <c r="A14" s="1">
        <v>43009</v>
      </c>
      <c r="B14" s="8">
        <f t="shared" si="5"/>
        <v>107378.02944507361</v>
      </c>
      <c r="C14" s="8">
        <f t="shared" si="0"/>
        <v>105230.46885617214</v>
      </c>
      <c r="D14" t="s">
        <v>50</v>
      </c>
      <c r="E14">
        <v>0</v>
      </c>
      <c r="F14">
        <v>1</v>
      </c>
      <c r="G14">
        <v>0</v>
      </c>
      <c r="H14" s="11">
        <f t="shared" si="7"/>
        <v>100345.1878553032</v>
      </c>
      <c r="I14" s="2">
        <f>IF(Estimat!G13=0,0,Estimat!G13/0.03/Oljepris!D13/(Oljepris!B13-13.15))</f>
        <v>105927.06788058602</v>
      </c>
      <c r="K14" s="8">
        <f t="shared" si="6"/>
        <v>0</v>
      </c>
      <c r="L14" s="8">
        <f t="shared" si="2"/>
        <v>0</v>
      </c>
      <c r="P14" s="11">
        <f t="shared" si="3"/>
        <v>0</v>
      </c>
      <c r="R14" s="8">
        <f t="shared" si="4"/>
        <v>105927.06788058602</v>
      </c>
    </row>
    <row r="15" spans="1:18" x14ac:dyDescent="0.25">
      <c r="A15" s="1">
        <v>43040</v>
      </c>
      <c r="B15" s="8">
        <f t="shared" si="5"/>
        <v>105927.06788058602</v>
      </c>
      <c r="C15" s="8">
        <f t="shared" si="0"/>
        <v>103808.52652297431</v>
      </c>
      <c r="D15" t="s">
        <v>55</v>
      </c>
      <c r="E15">
        <v>1</v>
      </c>
      <c r="F15">
        <v>1</v>
      </c>
      <c r="G15">
        <v>0</v>
      </c>
      <c r="H15" s="11">
        <f t="shared" si="7"/>
        <v>101338.28409819714</v>
      </c>
      <c r="I15" s="2">
        <f>IF(Estimat!G14=0,0,Estimat!G14/0.03/Oljepris!D14/(Oljepris!B14-13.15))</f>
        <v>105371.71554120707</v>
      </c>
      <c r="K15" s="8">
        <f t="shared" si="6"/>
        <v>0</v>
      </c>
      <c r="L15" s="8">
        <f t="shared" si="2"/>
        <v>0</v>
      </c>
      <c r="P15" s="11">
        <f t="shared" si="3"/>
        <v>0</v>
      </c>
      <c r="R15" s="8">
        <f t="shared" si="4"/>
        <v>105371.71554120707</v>
      </c>
    </row>
    <row r="16" spans="1:18" x14ac:dyDescent="0.25">
      <c r="A16" s="1">
        <v>43070</v>
      </c>
      <c r="B16" s="8">
        <f t="shared" si="5"/>
        <v>105371.71554120707</v>
      </c>
      <c r="C16" s="8">
        <f t="shared" si="0"/>
        <v>103264.28123038293</v>
      </c>
      <c r="D16" t="s">
        <v>54</v>
      </c>
      <c r="E16">
        <v>0</v>
      </c>
      <c r="F16">
        <v>0</v>
      </c>
      <c r="G16">
        <v>1</v>
      </c>
      <c r="H16" s="11">
        <f t="shared" si="7"/>
        <v>106311.5184162332</v>
      </c>
      <c r="I16" s="2">
        <f>IF(Estimat!G15=0,0,Estimat!G15/0.03/Oljepris!D15/(Oljepris!B15-13.15))</f>
        <v>110276.98353717674</v>
      </c>
      <c r="K16" s="8">
        <f t="shared" si="6"/>
        <v>0</v>
      </c>
      <c r="L16" s="8">
        <f t="shared" si="2"/>
        <v>0</v>
      </c>
      <c r="P16" s="11">
        <f t="shared" si="3"/>
        <v>0</v>
      </c>
      <c r="R16" s="8">
        <f t="shared" si="4"/>
        <v>110276.98353717674</v>
      </c>
    </row>
    <row r="17" spans="1:20" x14ac:dyDescent="0.25">
      <c r="A17" s="1">
        <v>43101</v>
      </c>
      <c r="B17" s="8">
        <f t="shared" si="5"/>
        <v>110276.98353717674</v>
      </c>
      <c r="C17" s="8">
        <f t="shared" si="0"/>
        <v>108071.44386643321</v>
      </c>
      <c r="D17" t="s">
        <v>20</v>
      </c>
      <c r="E17">
        <v>0</v>
      </c>
      <c r="F17">
        <v>0</v>
      </c>
      <c r="G17">
        <v>0</v>
      </c>
      <c r="H17" s="11">
        <f t="shared" si="7"/>
        <v>104185.28804790854</v>
      </c>
      <c r="I17" s="2">
        <f>IF(Estimat!G16=0,0,Estimat!G16/0.03/Oljepris!D16/(Oljepris!B16-16.5))</f>
        <v>107158.77904432366</v>
      </c>
      <c r="K17" s="8">
        <f t="shared" si="6"/>
        <v>0</v>
      </c>
      <c r="L17" s="8">
        <f t="shared" si="2"/>
        <v>0</v>
      </c>
      <c r="P17" s="11">
        <f t="shared" si="3"/>
        <v>0</v>
      </c>
      <c r="R17" s="8">
        <f t="shared" si="4"/>
        <v>107158.77904432366</v>
      </c>
    </row>
    <row r="18" spans="1:20" x14ac:dyDescent="0.25">
      <c r="A18" s="1">
        <v>43132</v>
      </c>
      <c r="B18" s="8">
        <f t="shared" si="5"/>
        <v>107158.77904432366</v>
      </c>
      <c r="C18" s="8">
        <f t="shared" si="0"/>
        <v>105015.60346343719</v>
      </c>
      <c r="D18" t="s">
        <v>20</v>
      </c>
      <c r="E18">
        <v>0</v>
      </c>
      <c r="F18">
        <v>0</v>
      </c>
      <c r="G18">
        <v>0</v>
      </c>
      <c r="H18" s="11">
        <f t="shared" si="7"/>
        <v>102101.58228695038</v>
      </c>
      <c r="I18" s="2">
        <f>IF(Estimat!G17=0,0,Estimat!G17/0.03/Oljepris!D17/(Oljepris!B17-13.15))</f>
        <v>102994.33171773599</v>
      </c>
      <c r="K18" s="8">
        <f t="shared" si="6"/>
        <v>0</v>
      </c>
      <c r="L18" s="8">
        <f t="shared" si="2"/>
        <v>0</v>
      </c>
      <c r="P18" s="11">
        <f t="shared" si="3"/>
        <v>0</v>
      </c>
      <c r="R18" s="8">
        <f t="shared" si="4"/>
        <v>102994.33171773599</v>
      </c>
    </row>
    <row r="19" spans="1:20" x14ac:dyDescent="0.25">
      <c r="A19" s="1">
        <v>43160</v>
      </c>
      <c r="B19" s="8">
        <f t="shared" si="5"/>
        <v>102994.33171773599</v>
      </c>
      <c r="C19" s="8">
        <f t="shared" si="0"/>
        <v>100934.44508338126</v>
      </c>
      <c r="D19" t="s">
        <v>20</v>
      </c>
      <c r="E19">
        <v>0</v>
      </c>
      <c r="H19" s="11">
        <f t="shared" si="7"/>
        <v>100059.55064121136</v>
      </c>
      <c r="I19" s="2">
        <f>IF(Estimat!G18=0,0,Estimat!G18/0.03/Oljepris!D18/(Oljepris!B18-13.15))</f>
        <v>113485.90883298658</v>
      </c>
      <c r="K19" s="8">
        <f t="shared" si="6"/>
        <v>0</v>
      </c>
      <c r="L19" s="8">
        <f t="shared" si="2"/>
        <v>0</v>
      </c>
      <c r="P19" s="11">
        <f>P18-(P18*$L$1)+(N19*$N$2)+(O19*$O$2)</f>
        <v>0</v>
      </c>
      <c r="R19" s="8">
        <f t="shared" si="4"/>
        <v>113485.90883298658</v>
      </c>
    </row>
    <row r="20" spans="1:20" x14ac:dyDescent="0.25">
      <c r="A20" s="1">
        <v>43191</v>
      </c>
      <c r="B20" s="8">
        <f t="shared" si="5"/>
        <v>113485.90883298658</v>
      </c>
      <c r="C20" s="8">
        <f t="shared" si="0"/>
        <v>111216.19065632684</v>
      </c>
      <c r="D20" t="s">
        <v>59</v>
      </c>
      <c r="E20">
        <v>1</v>
      </c>
      <c r="F20">
        <v>0</v>
      </c>
      <c r="G20">
        <v>0</v>
      </c>
      <c r="H20" s="11">
        <f t="shared" si="7"/>
        <v>100558.35962838713</v>
      </c>
      <c r="I20" s="2">
        <f>IF(Estimat!G19=0,0,Estimat!G19/0.03/Oljepris!D19/(Oljepris!B19-13.15))</f>
        <v>101952.35941504598</v>
      </c>
      <c r="K20" s="8">
        <f t="shared" si="6"/>
        <v>0</v>
      </c>
      <c r="L20" s="8">
        <f t="shared" si="2"/>
        <v>0</v>
      </c>
      <c r="M20" t="s">
        <v>27</v>
      </c>
      <c r="N20">
        <v>0</v>
      </c>
      <c r="P20" s="11">
        <f t="shared" ref="P20:P52" si="8">P19-(P19*$L$1)+(N20*$N$2)+(O20*$O$2)</f>
        <v>0</v>
      </c>
      <c r="R20" s="8">
        <f t="shared" si="4"/>
        <v>101952.35941504598</v>
      </c>
    </row>
    <row r="21" spans="1:20" x14ac:dyDescent="0.25">
      <c r="A21" s="1">
        <v>43221</v>
      </c>
      <c r="B21" s="8">
        <f t="shared" si="5"/>
        <v>101952.35941504598</v>
      </c>
      <c r="C21" s="8">
        <f t="shared" si="0"/>
        <v>99913.312226745067</v>
      </c>
      <c r="D21" t="s">
        <v>20</v>
      </c>
      <c r="E21">
        <v>0</v>
      </c>
      <c r="G21">
        <v>0</v>
      </c>
      <c r="H21" s="11">
        <f t="shared" si="7"/>
        <v>98547.192435819394</v>
      </c>
      <c r="I21" s="2">
        <f>IF(Estimat!G20=0,0,Estimat!G20/0.03/Oljepris!D20/(Oljepris!B20-13.15))</f>
        <v>100922.28478617618</v>
      </c>
      <c r="K21" s="8">
        <f t="shared" si="6"/>
        <v>0</v>
      </c>
      <c r="L21" s="8">
        <f t="shared" si="2"/>
        <v>0</v>
      </c>
      <c r="P21" s="11">
        <f t="shared" si="8"/>
        <v>0</v>
      </c>
      <c r="R21" s="8">
        <f t="shared" si="4"/>
        <v>100922.28478617618</v>
      </c>
    </row>
    <row r="22" spans="1:20" x14ac:dyDescent="0.25">
      <c r="A22" s="1">
        <v>43252</v>
      </c>
      <c r="B22" s="8">
        <f t="shared" si="5"/>
        <v>100922.28478617618</v>
      </c>
      <c r="C22" s="8">
        <f t="shared" si="0"/>
        <v>98903.83909045266</v>
      </c>
      <c r="D22" t="s">
        <v>20</v>
      </c>
      <c r="E22">
        <v>0</v>
      </c>
      <c r="G22">
        <v>0</v>
      </c>
      <c r="H22" s="11">
        <f t="shared" si="7"/>
        <v>96576.248587103008</v>
      </c>
      <c r="I22" s="2">
        <f>IF(Estimat!G21=0,0,Estimat!G21/0.03/Oljepris!D21/(Oljepris!B21-13.15))</f>
        <v>105016.86799434105</v>
      </c>
      <c r="K22" s="8">
        <f t="shared" si="6"/>
        <v>0</v>
      </c>
      <c r="L22" s="8">
        <f t="shared" si="2"/>
        <v>0</v>
      </c>
      <c r="P22" s="11">
        <f t="shared" si="8"/>
        <v>0</v>
      </c>
      <c r="R22" s="8">
        <f t="shared" si="4"/>
        <v>105016.86799434105</v>
      </c>
    </row>
    <row r="23" spans="1:20" x14ac:dyDescent="0.25">
      <c r="A23" s="1">
        <v>43282</v>
      </c>
      <c r="B23" s="8">
        <f t="shared" si="5"/>
        <v>105016.86799434105</v>
      </c>
      <c r="C23" s="8">
        <f t="shared" si="0"/>
        <v>102916.53063445423</v>
      </c>
      <c r="D23" t="s">
        <v>20</v>
      </c>
      <c r="E23">
        <v>0</v>
      </c>
      <c r="G23">
        <v>0</v>
      </c>
      <c r="H23" s="11">
        <f t="shared" si="7"/>
        <v>94644.723615360941</v>
      </c>
      <c r="I23" s="2">
        <f>IF(Estimat!G22=0,0,Estimat!G22/0.03/Oljepris!D22/(Oljepris!B22-13.15))</f>
        <v>109286.73248508526</v>
      </c>
      <c r="K23" s="8">
        <f t="shared" si="6"/>
        <v>0</v>
      </c>
      <c r="L23" s="8">
        <f t="shared" si="2"/>
        <v>0</v>
      </c>
      <c r="P23" s="11">
        <f t="shared" si="8"/>
        <v>0</v>
      </c>
      <c r="R23" s="8">
        <f t="shared" si="4"/>
        <v>109286.73248508526</v>
      </c>
    </row>
    <row r="24" spans="1:20" x14ac:dyDescent="0.25">
      <c r="A24" s="1">
        <v>43313</v>
      </c>
      <c r="B24" s="8">
        <f t="shared" si="5"/>
        <v>109286.73248508526</v>
      </c>
      <c r="C24" s="8">
        <f t="shared" si="0"/>
        <v>107100.99783538356</v>
      </c>
      <c r="D24" t="s">
        <v>63</v>
      </c>
      <c r="F24">
        <v>0</v>
      </c>
      <c r="G24">
        <v>2</v>
      </c>
      <c r="H24" s="11">
        <f t="shared" si="7"/>
        <v>106751.82914305372</v>
      </c>
      <c r="I24" s="2">
        <f>IF(Estimat!G23=0,0,Estimat!G23/0.03/Oljepris!D23/(Oljepris!B23-13.15))</f>
        <v>113176.66061850592</v>
      </c>
      <c r="K24" s="8">
        <f t="shared" si="6"/>
        <v>0</v>
      </c>
      <c r="L24" s="8">
        <f t="shared" si="2"/>
        <v>0</v>
      </c>
      <c r="P24" s="11">
        <f t="shared" si="8"/>
        <v>0</v>
      </c>
      <c r="R24" s="8">
        <f t="shared" si="4"/>
        <v>113176.66061850592</v>
      </c>
    </row>
    <row r="25" spans="1:20" x14ac:dyDescent="0.25">
      <c r="A25" s="1">
        <v>43344</v>
      </c>
      <c r="B25" s="8">
        <f t="shared" si="5"/>
        <v>113176.66061850592</v>
      </c>
      <c r="C25" s="8">
        <f t="shared" si="0"/>
        <v>110913.1274061358</v>
      </c>
      <c r="D25" t="s">
        <v>62</v>
      </c>
      <c r="E25">
        <v>0</v>
      </c>
      <c r="G25">
        <v>1</v>
      </c>
      <c r="H25" s="11">
        <f t="shared" si="7"/>
        <v>111616.79256019264</v>
      </c>
      <c r="I25" s="2">
        <f>IF(Estimat!G24=0,0,Estimat!G24/0.03/Oljepris!D24/(Oljepris!B24-13.15))</f>
        <v>116621.03234966029</v>
      </c>
      <c r="K25" s="8">
        <f t="shared" si="6"/>
        <v>0</v>
      </c>
      <c r="L25" s="8">
        <f t="shared" si="2"/>
        <v>0</v>
      </c>
      <c r="P25" s="11">
        <f t="shared" si="8"/>
        <v>0</v>
      </c>
      <c r="R25" s="8">
        <f t="shared" si="4"/>
        <v>116621.03234966029</v>
      </c>
    </row>
    <row r="26" spans="1:20" x14ac:dyDescent="0.25">
      <c r="A26" s="1">
        <v>43374</v>
      </c>
      <c r="B26" s="8">
        <f t="shared" si="5"/>
        <v>116621.03234966029</v>
      </c>
      <c r="C26" s="8">
        <f t="shared" si="0"/>
        <v>114288.61170266708</v>
      </c>
      <c r="D26" t="s">
        <v>64</v>
      </c>
      <c r="E26">
        <v>0</v>
      </c>
      <c r="F26">
        <v>2</v>
      </c>
      <c r="G26">
        <v>1</v>
      </c>
      <c r="H26" s="11">
        <f t="shared" si="7"/>
        <v>117384.45670898879</v>
      </c>
      <c r="I26" s="2">
        <f>IF(Estimat!G25=0,0,Estimat!G25/0.03/Oljepris!D25/(Oljepris!B25-13.15))</f>
        <v>126725.84763751342</v>
      </c>
      <c r="K26" s="8">
        <f t="shared" si="6"/>
        <v>0</v>
      </c>
      <c r="L26" s="8">
        <f t="shared" si="2"/>
        <v>0</v>
      </c>
      <c r="P26" s="11">
        <f t="shared" si="8"/>
        <v>0</v>
      </c>
      <c r="R26" s="8">
        <f t="shared" si="4"/>
        <v>126725.84763751342</v>
      </c>
    </row>
    <row r="27" spans="1:20" x14ac:dyDescent="0.25">
      <c r="A27" s="1">
        <v>43405</v>
      </c>
      <c r="B27" s="8">
        <f t="shared" si="5"/>
        <v>126725.84763751342</v>
      </c>
      <c r="C27" s="8">
        <f t="shared" si="0"/>
        <v>124191.33068476315</v>
      </c>
      <c r="F27">
        <v>0</v>
      </c>
      <c r="G27">
        <v>0</v>
      </c>
      <c r="H27" s="11">
        <f t="shared" si="7"/>
        <v>115036.76757480901</v>
      </c>
      <c r="I27" s="2">
        <f>IF(Estimat!G26=0,0,Estimat!G26/0.03/Oljepris!D26/(Oljepris!B26-13.15))</f>
        <v>127045.65030146427</v>
      </c>
      <c r="K27" s="8">
        <f t="shared" si="6"/>
        <v>0</v>
      </c>
      <c r="L27" s="8">
        <f t="shared" si="2"/>
        <v>0</v>
      </c>
      <c r="P27" s="11">
        <f t="shared" si="8"/>
        <v>0</v>
      </c>
      <c r="R27" s="8">
        <f t="shared" si="4"/>
        <v>127045.65030146427</v>
      </c>
    </row>
    <row r="28" spans="1:20" x14ac:dyDescent="0.25">
      <c r="A28" s="1">
        <v>43435</v>
      </c>
      <c r="B28" s="8">
        <f t="shared" si="5"/>
        <v>127045.65030146427</v>
      </c>
      <c r="C28" s="8">
        <f t="shared" si="0"/>
        <v>124504.73729543498</v>
      </c>
      <c r="D28" t="s">
        <v>65</v>
      </c>
      <c r="E28">
        <v>1</v>
      </c>
      <c r="F28">
        <v>0</v>
      </c>
      <c r="H28" s="11">
        <f t="shared" si="7"/>
        <v>115236.03222331282</v>
      </c>
      <c r="I28" s="2">
        <f>IF(Estimat!G27=0,0,Estimat!G27/0.03/Oljepris!D27/(Oljepris!B27-13.15))</f>
        <v>127774.1738908219</v>
      </c>
      <c r="K28" s="8">
        <f>SUM(H26:H28)/3</f>
        <v>115885.75216903687</v>
      </c>
      <c r="L28" s="8">
        <f t="shared" si="2"/>
        <v>114726.8946473465</v>
      </c>
      <c r="M28" t="s">
        <v>28</v>
      </c>
      <c r="N28">
        <v>0</v>
      </c>
      <c r="P28" s="11">
        <f t="shared" si="8"/>
        <v>0</v>
      </c>
      <c r="R28" s="8">
        <f t="shared" si="4"/>
        <v>127774.1738908219</v>
      </c>
      <c r="S28">
        <f>SUM(R17:R28)/12</f>
        <v>112680.05242280505</v>
      </c>
    </row>
    <row r="29" spans="1:20" x14ac:dyDescent="0.25">
      <c r="A29" s="1">
        <v>43466</v>
      </c>
      <c r="B29" s="8">
        <f t="shared" ref="B29:B48" si="9">IF(I28=0,H28,I28)</f>
        <v>127774.1738908219</v>
      </c>
      <c r="C29" s="8">
        <f t="shared" si="0"/>
        <v>125218.69041300546</v>
      </c>
      <c r="D29" t="s">
        <v>66</v>
      </c>
      <c r="F29">
        <v>0</v>
      </c>
      <c r="G29">
        <v>1</v>
      </c>
      <c r="H29" s="11">
        <f t="shared" si="7"/>
        <v>119931.31157884657</v>
      </c>
      <c r="I29" s="2">
        <f>IF(Estimat!G28=0,0,Estimat!G28/0.03/Oljepris!D28/(Oljepris!B28-13.15))</f>
        <v>128539.48463337193</v>
      </c>
      <c r="K29" s="8">
        <f t="shared" ref="K29:K52" si="10">IF(Q28=0,P28,Q28)</f>
        <v>0</v>
      </c>
      <c r="L29" s="8">
        <f t="shared" si="2"/>
        <v>0</v>
      </c>
      <c r="P29" s="11">
        <f t="shared" si="8"/>
        <v>0</v>
      </c>
      <c r="R29" s="8">
        <f t="shared" ref="R29:R47" si="11">IF(I29=0,H29+P29,I29+Q29)</f>
        <v>128539.48463337193</v>
      </c>
    </row>
    <row r="30" spans="1:20" x14ac:dyDescent="0.25">
      <c r="A30" s="1">
        <v>43497</v>
      </c>
      <c r="B30" s="8">
        <f t="shared" si="9"/>
        <v>128539.48463337193</v>
      </c>
      <c r="C30" s="8">
        <f t="shared" si="0"/>
        <v>125968.69494070449</v>
      </c>
      <c r="D30" t="s">
        <v>68</v>
      </c>
      <c r="E30">
        <v>1</v>
      </c>
      <c r="G30">
        <v>1</v>
      </c>
      <c r="H30" s="11">
        <f t="shared" si="7"/>
        <v>127032.68534726964</v>
      </c>
      <c r="I30" s="2">
        <v>126500</v>
      </c>
      <c r="K30" s="8">
        <f t="shared" si="10"/>
        <v>0</v>
      </c>
      <c r="L30" s="8">
        <f t="shared" si="2"/>
        <v>0</v>
      </c>
      <c r="P30" s="11">
        <f t="shared" si="8"/>
        <v>0</v>
      </c>
      <c r="R30" s="8">
        <f t="shared" si="11"/>
        <v>126500</v>
      </c>
    </row>
    <row r="31" spans="1:20" x14ac:dyDescent="0.25">
      <c r="A31" s="1">
        <v>43525</v>
      </c>
      <c r="B31" s="8">
        <f t="shared" si="9"/>
        <v>126500</v>
      </c>
      <c r="C31" s="8">
        <f t="shared" si="0"/>
        <v>123970</v>
      </c>
      <c r="D31" t="s">
        <v>20</v>
      </c>
      <c r="H31" s="11">
        <f t="shared" si="7"/>
        <v>124492.03164032425</v>
      </c>
      <c r="I31" s="2">
        <v>125240</v>
      </c>
      <c r="K31" s="8">
        <f t="shared" si="10"/>
        <v>0</v>
      </c>
      <c r="L31" s="8">
        <f t="shared" si="2"/>
        <v>0</v>
      </c>
      <c r="P31" s="11">
        <f t="shared" si="8"/>
        <v>0</v>
      </c>
      <c r="R31" s="8">
        <f t="shared" si="11"/>
        <v>125240</v>
      </c>
      <c r="T31">
        <f>SUM(R29:R31)/3</f>
        <v>126759.82821112398</v>
      </c>
    </row>
    <row r="32" spans="1:20" x14ac:dyDescent="0.25">
      <c r="A32" s="1">
        <v>43556</v>
      </c>
      <c r="B32" s="8">
        <f t="shared" si="9"/>
        <v>125240</v>
      </c>
      <c r="C32" s="8">
        <f t="shared" si="0"/>
        <v>122735.2</v>
      </c>
      <c r="D32" t="s">
        <v>20</v>
      </c>
      <c r="G32">
        <v>0</v>
      </c>
      <c r="H32" s="11">
        <f t="shared" si="7"/>
        <v>122002.19100751776</v>
      </c>
      <c r="I32" s="2">
        <v>125000</v>
      </c>
      <c r="K32" s="8">
        <f t="shared" si="10"/>
        <v>0</v>
      </c>
      <c r="L32" s="8">
        <f t="shared" si="2"/>
        <v>0</v>
      </c>
      <c r="P32" s="11">
        <f t="shared" si="8"/>
        <v>0</v>
      </c>
      <c r="R32" s="8">
        <f t="shared" si="11"/>
        <v>125000</v>
      </c>
    </row>
    <row r="33" spans="1:20" x14ac:dyDescent="0.25">
      <c r="A33" s="1">
        <v>43586</v>
      </c>
      <c r="B33" s="8">
        <f t="shared" si="9"/>
        <v>125000</v>
      </c>
      <c r="C33" s="8">
        <f t="shared" si="0"/>
        <v>122500</v>
      </c>
      <c r="D33" t="s">
        <v>73</v>
      </c>
      <c r="E33">
        <v>1</v>
      </c>
      <c r="G33">
        <v>1</v>
      </c>
      <c r="H33" s="11">
        <f t="shared" si="7"/>
        <v>129062.1471873674</v>
      </c>
      <c r="I33" s="2">
        <v>127000</v>
      </c>
      <c r="K33" s="8">
        <f t="shared" si="10"/>
        <v>0</v>
      </c>
      <c r="L33" s="8">
        <f t="shared" si="2"/>
        <v>0</v>
      </c>
      <c r="P33" s="11">
        <f t="shared" si="8"/>
        <v>0</v>
      </c>
      <c r="R33" s="8">
        <f t="shared" si="11"/>
        <v>127000</v>
      </c>
    </row>
    <row r="34" spans="1:20" x14ac:dyDescent="0.25">
      <c r="A34" s="1">
        <v>43617</v>
      </c>
      <c r="B34" s="8">
        <f t="shared" si="9"/>
        <v>127000</v>
      </c>
      <c r="C34" s="8">
        <f t="shared" si="0"/>
        <v>124460</v>
      </c>
      <c r="D34" t="s">
        <v>20</v>
      </c>
      <c r="H34" s="11">
        <f t="shared" si="7"/>
        <v>126480.90424362005</v>
      </c>
      <c r="I34" s="2">
        <v>127615</v>
      </c>
      <c r="K34" s="8">
        <f t="shared" si="10"/>
        <v>0</v>
      </c>
      <c r="L34" s="8">
        <f t="shared" si="2"/>
        <v>0</v>
      </c>
      <c r="P34" s="11">
        <f t="shared" si="8"/>
        <v>0</v>
      </c>
      <c r="R34" s="8">
        <f t="shared" si="11"/>
        <v>127615</v>
      </c>
      <c r="T34">
        <f>SUM(R32:R34)/3</f>
        <v>126538.33333333333</v>
      </c>
    </row>
    <row r="35" spans="1:20" x14ac:dyDescent="0.25">
      <c r="A35" s="1">
        <v>43647</v>
      </c>
      <c r="B35" s="8">
        <f t="shared" si="9"/>
        <v>127615</v>
      </c>
      <c r="C35" s="8">
        <f t="shared" si="0"/>
        <v>125062.7</v>
      </c>
      <c r="D35" t="s">
        <v>20</v>
      </c>
      <c r="H35" s="11">
        <f t="shared" si="7"/>
        <v>123951.28615874765</v>
      </c>
      <c r="I35" s="2">
        <v>120800</v>
      </c>
      <c r="K35" s="8">
        <f t="shared" si="10"/>
        <v>0</v>
      </c>
      <c r="L35" s="8">
        <f t="shared" si="2"/>
        <v>0</v>
      </c>
      <c r="P35" s="11">
        <f t="shared" si="8"/>
        <v>0</v>
      </c>
      <c r="R35" s="8">
        <f t="shared" si="11"/>
        <v>120800</v>
      </c>
    </row>
    <row r="36" spans="1:20" x14ac:dyDescent="0.25">
      <c r="A36" s="1">
        <v>43678</v>
      </c>
      <c r="B36" s="8">
        <f t="shared" si="9"/>
        <v>120800</v>
      </c>
      <c r="C36" s="8">
        <f t="shared" si="0"/>
        <v>118384</v>
      </c>
      <c r="D36" t="s">
        <v>20</v>
      </c>
      <c r="H36" s="11">
        <f t="shared" si="7"/>
        <v>121472.26043557269</v>
      </c>
      <c r="I36" s="2">
        <v>119700</v>
      </c>
      <c r="K36" s="8">
        <f t="shared" si="10"/>
        <v>0</v>
      </c>
      <c r="L36" s="8">
        <f t="shared" si="2"/>
        <v>0</v>
      </c>
      <c r="P36" s="11">
        <f t="shared" si="8"/>
        <v>0</v>
      </c>
      <c r="R36" s="8">
        <f t="shared" si="11"/>
        <v>119700</v>
      </c>
    </row>
    <row r="37" spans="1:20" x14ac:dyDescent="0.25">
      <c r="A37" s="1">
        <v>43709</v>
      </c>
      <c r="B37" s="8">
        <f t="shared" si="9"/>
        <v>119700</v>
      </c>
      <c r="C37" s="8">
        <f t="shared" si="0"/>
        <v>117306</v>
      </c>
      <c r="D37" t="s">
        <v>218</v>
      </c>
      <c r="E37">
        <v>1</v>
      </c>
      <c r="F37">
        <v>1</v>
      </c>
      <c r="H37" s="11">
        <f t="shared" si="7"/>
        <v>122042.81522686125</v>
      </c>
      <c r="I37" s="2">
        <v>118800</v>
      </c>
      <c r="K37" s="8">
        <f t="shared" si="10"/>
        <v>0</v>
      </c>
      <c r="L37" s="8">
        <f t="shared" si="2"/>
        <v>0</v>
      </c>
      <c r="P37" s="11">
        <f t="shared" si="8"/>
        <v>0</v>
      </c>
      <c r="R37" s="8">
        <f t="shared" si="11"/>
        <v>118800</v>
      </c>
    </row>
    <row r="38" spans="1:20" x14ac:dyDescent="0.25">
      <c r="A38" s="1">
        <v>43739</v>
      </c>
      <c r="B38" s="8">
        <f t="shared" si="9"/>
        <v>118800</v>
      </c>
      <c r="C38" s="8">
        <f t="shared" si="0"/>
        <v>116424</v>
      </c>
      <c r="D38" t="s">
        <v>221</v>
      </c>
      <c r="F38">
        <v>2</v>
      </c>
      <c r="G38">
        <v>1</v>
      </c>
      <c r="H38" s="11">
        <f t="shared" si="7"/>
        <v>127601.95892232402</v>
      </c>
      <c r="I38" s="2">
        <v>122000</v>
      </c>
      <c r="K38" s="8">
        <f t="shared" si="10"/>
        <v>0</v>
      </c>
      <c r="L38" s="8">
        <f t="shared" si="2"/>
        <v>0</v>
      </c>
      <c r="M38" t="s">
        <v>28</v>
      </c>
      <c r="N38">
        <v>0</v>
      </c>
      <c r="P38" s="11">
        <f t="shared" si="8"/>
        <v>0</v>
      </c>
      <c r="R38" s="8">
        <f t="shared" si="11"/>
        <v>122000</v>
      </c>
    </row>
    <row r="39" spans="1:20" x14ac:dyDescent="0.25">
      <c r="A39" s="1">
        <v>43770</v>
      </c>
      <c r="B39" s="8">
        <f t="shared" si="9"/>
        <v>122000</v>
      </c>
      <c r="C39" s="8">
        <f t="shared" si="0"/>
        <v>119560</v>
      </c>
      <c r="D39" t="s">
        <v>222</v>
      </c>
      <c r="E39">
        <v>1</v>
      </c>
      <c r="F39">
        <v>2</v>
      </c>
      <c r="H39" s="11">
        <f t="shared" si="7"/>
        <v>128549.91974387754</v>
      </c>
      <c r="I39" s="2">
        <v>122850</v>
      </c>
      <c r="K39" s="8">
        <f t="shared" si="10"/>
        <v>0</v>
      </c>
      <c r="L39" s="8">
        <f t="shared" si="2"/>
        <v>0</v>
      </c>
      <c r="P39" s="11">
        <f t="shared" si="8"/>
        <v>0</v>
      </c>
      <c r="R39" s="8">
        <f t="shared" si="11"/>
        <v>122850</v>
      </c>
    </row>
    <row r="40" spans="1:20" x14ac:dyDescent="0.25">
      <c r="A40" s="1">
        <v>43800</v>
      </c>
      <c r="B40" s="8">
        <f t="shared" si="9"/>
        <v>122850</v>
      </c>
      <c r="C40" s="8">
        <f t="shared" si="0"/>
        <v>120393</v>
      </c>
      <c r="D40" t="s">
        <v>223</v>
      </c>
      <c r="E40">
        <v>1</v>
      </c>
      <c r="F40">
        <v>2</v>
      </c>
      <c r="H40" s="11">
        <f t="shared" si="7"/>
        <v>129478.921349</v>
      </c>
      <c r="I40" s="2">
        <v>123530</v>
      </c>
      <c r="K40" s="8">
        <f t="shared" si="10"/>
        <v>0</v>
      </c>
      <c r="L40" s="8">
        <f t="shared" si="2"/>
        <v>0</v>
      </c>
      <c r="P40" s="11">
        <f t="shared" si="8"/>
        <v>0</v>
      </c>
      <c r="R40" s="8">
        <f t="shared" si="11"/>
        <v>123530</v>
      </c>
      <c r="S40">
        <f>SUM(R29:R40)/12</f>
        <v>123964.54038611433</v>
      </c>
    </row>
    <row r="41" spans="1:20" x14ac:dyDescent="0.25">
      <c r="A41" s="1">
        <v>43831</v>
      </c>
      <c r="B41" s="8">
        <f t="shared" si="9"/>
        <v>123530</v>
      </c>
      <c r="C41" s="8">
        <f t="shared" si="0"/>
        <v>121059.4</v>
      </c>
      <c r="D41" t="s">
        <v>218</v>
      </c>
      <c r="E41">
        <v>1</v>
      </c>
      <c r="F41">
        <v>1</v>
      </c>
      <c r="H41" s="11">
        <f t="shared" si="7"/>
        <v>129889.34292201999</v>
      </c>
      <c r="I41" s="2">
        <v>117000</v>
      </c>
      <c r="K41" s="8">
        <f t="shared" si="10"/>
        <v>0</v>
      </c>
      <c r="L41" s="8">
        <f t="shared" si="2"/>
        <v>0</v>
      </c>
      <c r="P41" s="11">
        <f t="shared" si="8"/>
        <v>0</v>
      </c>
      <c r="R41" s="8">
        <f t="shared" si="11"/>
        <v>117000</v>
      </c>
    </row>
    <row r="42" spans="1:20" x14ac:dyDescent="0.25">
      <c r="A42" s="1">
        <v>43862</v>
      </c>
      <c r="B42" s="8">
        <f t="shared" si="9"/>
        <v>117000</v>
      </c>
      <c r="C42" s="8">
        <f t="shared" si="0"/>
        <v>114660</v>
      </c>
      <c r="D42" t="s">
        <v>217</v>
      </c>
      <c r="E42">
        <v>0</v>
      </c>
      <c r="H42" s="11">
        <f t="shared" si="7"/>
        <v>127291.55606357958</v>
      </c>
      <c r="I42" s="2">
        <v>115500</v>
      </c>
      <c r="K42" s="8">
        <f t="shared" si="10"/>
        <v>0</v>
      </c>
      <c r="L42" s="8">
        <f t="shared" si="2"/>
        <v>0</v>
      </c>
      <c r="P42" s="11">
        <f t="shared" si="8"/>
        <v>0</v>
      </c>
      <c r="R42" s="8">
        <f t="shared" si="11"/>
        <v>115500</v>
      </c>
    </row>
    <row r="43" spans="1:20" x14ac:dyDescent="0.25">
      <c r="A43" s="1">
        <v>43891</v>
      </c>
      <c r="B43" s="8">
        <f t="shared" si="9"/>
        <v>115500</v>
      </c>
      <c r="C43" s="8">
        <f t="shared" si="0"/>
        <v>113190</v>
      </c>
      <c r="H43" s="11">
        <f t="shared" si="7"/>
        <v>124745.72494230799</v>
      </c>
      <c r="I43" s="2">
        <v>113120</v>
      </c>
      <c r="K43" s="8">
        <f t="shared" si="10"/>
        <v>0</v>
      </c>
      <c r="L43" s="8">
        <f t="shared" si="2"/>
        <v>0</v>
      </c>
      <c r="P43" s="11">
        <f t="shared" si="8"/>
        <v>0</v>
      </c>
      <c r="R43" s="8">
        <f t="shared" si="11"/>
        <v>113120</v>
      </c>
    </row>
    <row r="44" spans="1:20" x14ac:dyDescent="0.25">
      <c r="A44" s="1">
        <v>43922</v>
      </c>
      <c r="B44" s="8">
        <f t="shared" si="9"/>
        <v>113120</v>
      </c>
      <c r="C44" s="8">
        <f t="shared" si="0"/>
        <v>110857.60000000001</v>
      </c>
      <c r="E44">
        <v>0</v>
      </c>
      <c r="G44">
        <v>0</v>
      </c>
      <c r="H44" s="11">
        <f>H43-(H43*$C$1)+(E44*$E$2)+(F44*$F$2)+(G44*$G$2)</f>
        <v>122250.81044346183</v>
      </c>
      <c r="I44" s="2">
        <v>107000</v>
      </c>
      <c r="K44" s="8">
        <f t="shared" si="10"/>
        <v>0</v>
      </c>
      <c r="L44" s="8">
        <f t="shared" si="2"/>
        <v>0</v>
      </c>
      <c r="P44" s="11">
        <f t="shared" si="8"/>
        <v>0</v>
      </c>
      <c r="R44" s="8">
        <f t="shared" si="11"/>
        <v>107000</v>
      </c>
    </row>
    <row r="45" spans="1:20" x14ac:dyDescent="0.25">
      <c r="A45" s="1">
        <v>43952</v>
      </c>
      <c r="B45" s="8">
        <f t="shared" si="9"/>
        <v>107000</v>
      </c>
      <c r="C45" s="8">
        <f t="shared" si="0"/>
        <v>104860</v>
      </c>
      <c r="H45" s="11">
        <f t="shared" si="7"/>
        <v>119805.7942345926</v>
      </c>
      <c r="I45" s="2">
        <v>102000</v>
      </c>
      <c r="K45" s="8">
        <f t="shared" si="10"/>
        <v>0</v>
      </c>
      <c r="L45" s="8">
        <f t="shared" si="2"/>
        <v>0</v>
      </c>
      <c r="P45" s="11">
        <f t="shared" si="8"/>
        <v>0</v>
      </c>
      <c r="R45" s="8">
        <f t="shared" si="11"/>
        <v>102000</v>
      </c>
    </row>
    <row r="46" spans="1:20" x14ac:dyDescent="0.25">
      <c r="A46" s="1">
        <v>43983</v>
      </c>
      <c r="B46" s="8">
        <f t="shared" si="9"/>
        <v>102000</v>
      </c>
      <c r="C46" s="8">
        <f t="shared" si="0"/>
        <v>99960</v>
      </c>
      <c r="F46">
        <v>0</v>
      </c>
      <c r="H46" s="11">
        <f t="shared" si="7"/>
        <v>117409.67834990074</v>
      </c>
      <c r="I46" s="2">
        <v>97000</v>
      </c>
      <c r="K46" s="8">
        <f t="shared" si="10"/>
        <v>0</v>
      </c>
      <c r="L46" s="8">
        <f t="shared" si="2"/>
        <v>0</v>
      </c>
      <c r="P46" s="11">
        <f t="shared" si="8"/>
        <v>0</v>
      </c>
      <c r="R46" s="8">
        <f t="shared" si="11"/>
        <v>97000</v>
      </c>
    </row>
    <row r="47" spans="1:20" x14ac:dyDescent="0.25">
      <c r="A47" s="1">
        <v>44013</v>
      </c>
      <c r="B47" s="8">
        <f t="shared" si="9"/>
        <v>97000</v>
      </c>
      <c r="C47" s="8">
        <f t="shared" si="0"/>
        <v>95060</v>
      </c>
      <c r="G47">
        <v>0</v>
      </c>
      <c r="H47" s="11">
        <f t="shared" si="7"/>
        <v>115061.48478290273</v>
      </c>
      <c r="I47" s="2">
        <v>115000</v>
      </c>
      <c r="K47" s="8">
        <f t="shared" si="10"/>
        <v>0</v>
      </c>
      <c r="L47" s="8">
        <f t="shared" si="2"/>
        <v>0</v>
      </c>
      <c r="P47" s="11">
        <f t="shared" si="8"/>
        <v>0</v>
      </c>
      <c r="R47" s="8">
        <f t="shared" si="11"/>
        <v>115000</v>
      </c>
    </row>
    <row r="48" spans="1:20" x14ac:dyDescent="0.25">
      <c r="A48" s="1">
        <v>44044</v>
      </c>
      <c r="B48" s="8">
        <f t="shared" si="9"/>
        <v>115000</v>
      </c>
      <c r="C48" s="8">
        <f t="shared" si="0"/>
        <v>112700</v>
      </c>
      <c r="E48">
        <v>0</v>
      </c>
      <c r="H48" s="11">
        <f t="shared" si="7"/>
        <v>112760.25508724467</v>
      </c>
      <c r="I48" s="2">
        <v>113800</v>
      </c>
      <c r="K48" s="8">
        <f t="shared" si="10"/>
        <v>0</v>
      </c>
      <c r="L48" s="8">
        <f t="shared" si="2"/>
        <v>0</v>
      </c>
      <c r="M48" t="s">
        <v>28</v>
      </c>
      <c r="N48">
        <v>0</v>
      </c>
      <c r="P48" s="11">
        <f t="shared" si="8"/>
        <v>0</v>
      </c>
      <c r="R48" s="8">
        <f>IF(I48=0,C48+P48,I48+Q48)</f>
        <v>113800</v>
      </c>
    </row>
    <row r="49" spans="1:19" x14ac:dyDescent="0.25">
      <c r="A49" s="1">
        <v>44075</v>
      </c>
      <c r="B49" s="8">
        <f>IF(I48=0,C48,I48)</f>
        <v>113800</v>
      </c>
      <c r="C49" s="8">
        <f t="shared" si="0"/>
        <v>111524</v>
      </c>
      <c r="H49" s="11">
        <f t="shared" si="7"/>
        <v>110505.04998549978</v>
      </c>
      <c r="I49" s="2">
        <v>112300</v>
      </c>
      <c r="K49" s="8">
        <f t="shared" si="10"/>
        <v>0</v>
      </c>
      <c r="L49" s="8">
        <f t="shared" si="2"/>
        <v>0</v>
      </c>
      <c r="P49" s="11">
        <f t="shared" si="8"/>
        <v>0</v>
      </c>
      <c r="R49" s="8">
        <f>IF(I49=0,C49+P49,I49+Q49)</f>
        <v>112300</v>
      </c>
    </row>
    <row r="50" spans="1:19" x14ac:dyDescent="0.25">
      <c r="A50" s="1">
        <v>44105</v>
      </c>
      <c r="B50" s="8">
        <f>IF(I49=0,C49,I49)</f>
        <v>112300</v>
      </c>
      <c r="C50" s="8">
        <f t="shared" si="0"/>
        <v>110054</v>
      </c>
      <c r="F50">
        <v>0</v>
      </c>
      <c r="H50" s="11">
        <f t="shared" si="7"/>
        <v>108294.94898578979</v>
      </c>
      <c r="I50" s="2">
        <v>111250</v>
      </c>
      <c r="K50" s="8">
        <f t="shared" si="10"/>
        <v>0</v>
      </c>
      <c r="L50" s="8">
        <f t="shared" si="2"/>
        <v>0</v>
      </c>
      <c r="P50" s="11">
        <f t="shared" si="8"/>
        <v>0</v>
      </c>
      <c r="R50" s="8">
        <f>IF(I50=0,C50+P50,I50+Q50)</f>
        <v>111250</v>
      </c>
    </row>
    <row r="51" spans="1:19" x14ac:dyDescent="0.25">
      <c r="A51" s="1">
        <v>44136</v>
      </c>
      <c r="B51" s="8">
        <f>IF(I50=0,C50,I50)</f>
        <v>111250</v>
      </c>
      <c r="C51" s="8">
        <f t="shared" si="0"/>
        <v>109025</v>
      </c>
      <c r="G51">
        <v>0</v>
      </c>
      <c r="H51" s="11">
        <f t="shared" si="7"/>
        <v>106129.05000607399</v>
      </c>
      <c r="I51" s="2">
        <v>110160</v>
      </c>
      <c r="K51" s="8">
        <f t="shared" si="10"/>
        <v>0</v>
      </c>
      <c r="L51" s="8">
        <f t="shared" si="2"/>
        <v>0</v>
      </c>
      <c r="P51" s="11">
        <f t="shared" si="8"/>
        <v>0</v>
      </c>
      <c r="R51" s="8">
        <f>IF(I51=0,C51+P51,I51+Q51)</f>
        <v>110160</v>
      </c>
    </row>
    <row r="52" spans="1:19" x14ac:dyDescent="0.25">
      <c r="A52" s="1">
        <v>44166</v>
      </c>
      <c r="B52" s="8">
        <f>IF(I51=0,C51,I51)</f>
        <v>110160</v>
      </c>
      <c r="C52" s="8">
        <f t="shared" si="0"/>
        <v>107956.8</v>
      </c>
      <c r="E52">
        <v>0</v>
      </c>
      <c r="H52" s="11">
        <f t="shared" si="7"/>
        <v>104006.4690059525</v>
      </c>
      <c r="I52" s="2">
        <v>109100</v>
      </c>
      <c r="K52" s="8">
        <f t="shared" si="10"/>
        <v>0</v>
      </c>
      <c r="L52" s="8">
        <f t="shared" si="2"/>
        <v>0</v>
      </c>
      <c r="P52" s="11">
        <f t="shared" si="8"/>
        <v>0</v>
      </c>
      <c r="R52" s="8">
        <f>IF(I52=0,C52+P52,I52+Q52)</f>
        <v>109100</v>
      </c>
      <c r="S52">
        <f>SUM(R41:R52)/12</f>
        <v>110269.16666666667</v>
      </c>
    </row>
    <row r="53" spans="1:19" x14ac:dyDescent="0.25">
      <c r="A53" s="1">
        <v>44197</v>
      </c>
      <c r="B53" s="8">
        <f t="shared" ref="B53:B81" si="12">IF(I52=0,C52,I52)</f>
        <v>109100</v>
      </c>
      <c r="C53" s="8">
        <f t="shared" ref="C53:C81" si="13">B53-(B53*$C$1)</f>
        <v>106918</v>
      </c>
      <c r="D53" t="s">
        <v>229</v>
      </c>
      <c r="G53">
        <v>1</v>
      </c>
      <c r="H53" s="11">
        <f t="shared" si="7"/>
        <v>108926.33962583345</v>
      </c>
      <c r="I53" s="2">
        <v>111500</v>
      </c>
    </row>
    <row r="54" spans="1:19" x14ac:dyDescent="0.25">
      <c r="A54" s="1">
        <v>44228</v>
      </c>
      <c r="B54" s="8">
        <f t="shared" si="12"/>
        <v>111500</v>
      </c>
      <c r="C54" s="8">
        <f t="shared" si="13"/>
        <v>109270</v>
      </c>
      <c r="H54" s="11">
        <f t="shared" si="7"/>
        <v>106747.81283331678</v>
      </c>
      <c r="I54" s="2">
        <v>112000</v>
      </c>
    </row>
    <row r="55" spans="1:19" x14ac:dyDescent="0.25">
      <c r="A55" s="1">
        <v>44256</v>
      </c>
      <c r="B55" s="8">
        <f t="shared" si="12"/>
        <v>112000</v>
      </c>
      <c r="C55" s="8">
        <f t="shared" si="13"/>
        <v>109760</v>
      </c>
      <c r="H55" s="11">
        <f t="shared" si="7"/>
        <v>104612.85657665045</v>
      </c>
      <c r="I55" s="2">
        <v>113100</v>
      </c>
    </row>
    <row r="56" spans="1:19" x14ac:dyDescent="0.25">
      <c r="A56" s="1">
        <v>44287</v>
      </c>
      <c r="B56" s="8">
        <f t="shared" si="12"/>
        <v>113100</v>
      </c>
      <c r="C56" s="8">
        <f t="shared" si="13"/>
        <v>110838</v>
      </c>
      <c r="H56" s="11">
        <f t="shared" si="7"/>
        <v>102520.59944511743</v>
      </c>
      <c r="I56" s="2">
        <v>115000</v>
      </c>
    </row>
    <row r="57" spans="1:19" x14ac:dyDescent="0.25">
      <c r="A57" s="1">
        <v>44317</v>
      </c>
      <c r="B57" s="8">
        <f t="shared" si="12"/>
        <v>115000</v>
      </c>
      <c r="C57" s="8">
        <f t="shared" si="13"/>
        <v>112700</v>
      </c>
      <c r="D57" t="s">
        <v>230</v>
      </c>
      <c r="G57">
        <v>1</v>
      </c>
      <c r="H57" s="11">
        <f t="shared" si="7"/>
        <v>107470.18745621509</v>
      </c>
    </row>
    <row r="58" spans="1:19" x14ac:dyDescent="0.25">
      <c r="A58" s="1">
        <v>44348</v>
      </c>
      <c r="B58" s="8">
        <f t="shared" si="12"/>
        <v>112700</v>
      </c>
      <c r="C58" s="8">
        <f t="shared" si="13"/>
        <v>110446</v>
      </c>
      <c r="D58" t="s">
        <v>231</v>
      </c>
      <c r="E58">
        <v>1</v>
      </c>
      <c r="H58" s="11">
        <f t="shared" si="7"/>
        <v>107820.78370709078</v>
      </c>
    </row>
    <row r="59" spans="1:19" x14ac:dyDescent="0.25">
      <c r="A59" s="1">
        <v>44378</v>
      </c>
      <c r="B59" s="8">
        <f t="shared" si="12"/>
        <v>110446</v>
      </c>
      <c r="C59" s="8">
        <f t="shared" si="13"/>
        <v>108237.08</v>
      </c>
      <c r="D59" t="s">
        <v>231</v>
      </c>
      <c r="E59">
        <v>1</v>
      </c>
      <c r="H59" s="11">
        <f t="shared" si="7"/>
        <v>108164.36803294897</v>
      </c>
    </row>
    <row r="60" spans="1:19" x14ac:dyDescent="0.25">
      <c r="A60" s="1">
        <v>44409</v>
      </c>
      <c r="B60" s="8">
        <f t="shared" si="12"/>
        <v>108237.08</v>
      </c>
      <c r="C60" s="8">
        <f t="shared" si="13"/>
        <v>106072.33840000001</v>
      </c>
      <c r="H60" s="11">
        <f t="shared" si="7"/>
        <v>106001.08067228999</v>
      </c>
    </row>
    <row r="61" spans="1:19" x14ac:dyDescent="0.25">
      <c r="A61" s="1">
        <v>44440</v>
      </c>
      <c r="B61" s="8">
        <f t="shared" si="12"/>
        <v>106072.33840000001</v>
      </c>
      <c r="C61" s="8">
        <f t="shared" si="13"/>
        <v>103950.89163200001</v>
      </c>
      <c r="D61" t="s">
        <v>231</v>
      </c>
      <c r="E61">
        <v>1</v>
      </c>
      <c r="H61" s="11">
        <f t="shared" si="7"/>
        <v>106381.05905884418</v>
      </c>
    </row>
    <row r="62" spans="1:19" x14ac:dyDescent="0.25">
      <c r="A62" s="1">
        <v>44470</v>
      </c>
      <c r="B62" s="8">
        <f t="shared" si="12"/>
        <v>103950.89163200001</v>
      </c>
      <c r="C62" s="8">
        <f t="shared" si="13"/>
        <v>101871.87379936001</v>
      </c>
      <c r="D62" t="s">
        <v>232</v>
      </c>
      <c r="E62">
        <v>1</v>
      </c>
      <c r="G62">
        <v>1</v>
      </c>
      <c r="H62" s="11">
        <f t="shared" si="7"/>
        <v>113753.4378776673</v>
      </c>
    </row>
    <row r="63" spans="1:19" x14ac:dyDescent="0.25">
      <c r="A63" s="1">
        <v>44501</v>
      </c>
      <c r="B63" s="8">
        <f t="shared" si="12"/>
        <v>101871.87379936001</v>
      </c>
      <c r="C63" s="8">
        <f t="shared" si="13"/>
        <v>99834.436323372807</v>
      </c>
      <c r="H63" s="11">
        <f t="shared" si="7"/>
        <v>111478.36912011394</v>
      </c>
    </row>
    <row r="64" spans="1:19" x14ac:dyDescent="0.25">
      <c r="A64" s="1">
        <v>44531</v>
      </c>
      <c r="B64" s="8">
        <f t="shared" si="12"/>
        <v>99834.436323372807</v>
      </c>
      <c r="C64" s="8">
        <f t="shared" si="13"/>
        <v>97837.747596905348</v>
      </c>
      <c r="D64" t="s">
        <v>233</v>
      </c>
      <c r="E64">
        <v>1</v>
      </c>
      <c r="H64" s="11">
        <f t="shared" si="7"/>
        <v>111748.80173771166</v>
      </c>
    </row>
    <row r="65" spans="1:8" x14ac:dyDescent="0.25">
      <c r="A65" s="1">
        <v>44562</v>
      </c>
      <c r="B65" s="8">
        <f t="shared" si="12"/>
        <v>97837.747596905348</v>
      </c>
      <c r="C65" s="8">
        <f t="shared" si="13"/>
        <v>95880.992644967235</v>
      </c>
      <c r="D65" t="s">
        <v>234</v>
      </c>
      <c r="E65">
        <v>1</v>
      </c>
      <c r="H65" s="11">
        <f t="shared" si="7"/>
        <v>112013.82570295743</v>
      </c>
    </row>
    <row r="66" spans="1:8" x14ac:dyDescent="0.25">
      <c r="A66" s="1">
        <v>44593</v>
      </c>
      <c r="B66" s="8">
        <f t="shared" si="12"/>
        <v>95880.992644967235</v>
      </c>
      <c r="C66" s="8">
        <f t="shared" si="13"/>
        <v>93963.372792067894</v>
      </c>
      <c r="D66" t="s">
        <v>235</v>
      </c>
      <c r="E66">
        <v>1</v>
      </c>
      <c r="H66" s="11">
        <f t="shared" si="7"/>
        <v>112273.54918889828</v>
      </c>
    </row>
    <row r="67" spans="1:8" x14ac:dyDescent="0.25">
      <c r="A67" s="1">
        <v>44621</v>
      </c>
      <c r="B67" s="8">
        <f t="shared" si="12"/>
        <v>93963.372792067894</v>
      </c>
      <c r="C67" s="8">
        <f t="shared" si="13"/>
        <v>92084.105336226537</v>
      </c>
      <c r="H67" s="11">
        <f t="shared" si="7"/>
        <v>110028.07820512031</v>
      </c>
    </row>
    <row r="68" spans="1:8" x14ac:dyDescent="0.25">
      <c r="A68" s="1">
        <v>44652</v>
      </c>
      <c r="B68" s="8">
        <f t="shared" si="12"/>
        <v>92084.105336226537</v>
      </c>
      <c r="C68" s="8">
        <f t="shared" si="13"/>
        <v>90242.423229502005</v>
      </c>
      <c r="H68" s="11">
        <f t="shared" si="7"/>
        <v>107827.51664101791</v>
      </c>
    </row>
    <row r="69" spans="1:8" x14ac:dyDescent="0.25">
      <c r="A69" s="1">
        <v>44682</v>
      </c>
      <c r="B69" s="8">
        <f t="shared" si="12"/>
        <v>90242.423229502005</v>
      </c>
      <c r="C69" s="8">
        <f t="shared" si="13"/>
        <v>88437.574764911958</v>
      </c>
      <c r="H69" s="11">
        <f t="shared" si="7"/>
        <v>105670.96630819755</v>
      </c>
    </row>
    <row r="70" spans="1:8" x14ac:dyDescent="0.25">
      <c r="A70" s="1">
        <v>44713</v>
      </c>
      <c r="B70" s="8">
        <f t="shared" si="12"/>
        <v>88437.574764911958</v>
      </c>
      <c r="C70" s="8">
        <f t="shared" si="13"/>
        <v>86668.823269613713</v>
      </c>
      <c r="H70" s="11">
        <f t="shared" si="7"/>
        <v>103557.5469820336</v>
      </c>
    </row>
    <row r="71" spans="1:8" x14ac:dyDescent="0.25">
      <c r="A71" s="1">
        <v>44743</v>
      </c>
      <c r="B71" s="8">
        <f t="shared" si="12"/>
        <v>86668.823269613713</v>
      </c>
      <c r="C71" s="8">
        <f t="shared" si="13"/>
        <v>84935.446804221443</v>
      </c>
      <c r="H71" s="11">
        <f t="shared" si="7"/>
        <v>101486.39604239292</v>
      </c>
    </row>
    <row r="72" spans="1:8" x14ac:dyDescent="0.25">
      <c r="A72" s="1">
        <v>44774</v>
      </c>
      <c r="B72" s="8">
        <f t="shared" si="12"/>
        <v>84935.446804221443</v>
      </c>
      <c r="C72" s="8">
        <f t="shared" si="13"/>
        <v>83236.737868137017</v>
      </c>
      <c r="H72" s="11">
        <f t="shared" si="7"/>
        <v>99456.668121545066</v>
      </c>
    </row>
    <row r="73" spans="1:8" x14ac:dyDescent="0.25">
      <c r="A73" s="1">
        <v>44805</v>
      </c>
      <c r="B73" s="8">
        <f t="shared" si="12"/>
        <v>83236.737868137017</v>
      </c>
      <c r="C73" s="8">
        <f t="shared" si="13"/>
        <v>81572.003110774283</v>
      </c>
      <c r="H73" s="11">
        <f t="shared" si="7"/>
        <v>97467.534759114162</v>
      </c>
    </row>
    <row r="74" spans="1:8" x14ac:dyDescent="0.25">
      <c r="A74" s="1">
        <v>44835</v>
      </c>
      <c r="B74" s="8">
        <f t="shared" si="12"/>
        <v>81572.003110774283</v>
      </c>
      <c r="C74" s="8">
        <f t="shared" si="13"/>
        <v>79940.563048558804</v>
      </c>
      <c r="H74" s="11">
        <f t="shared" si="7"/>
        <v>95518.184063931883</v>
      </c>
    </row>
    <row r="75" spans="1:8" x14ac:dyDescent="0.25">
      <c r="A75" s="1">
        <v>44866</v>
      </c>
      <c r="B75" s="8">
        <f t="shared" si="12"/>
        <v>79940.563048558804</v>
      </c>
      <c r="C75" s="8">
        <f t="shared" si="13"/>
        <v>78341.751787587622</v>
      </c>
      <c r="H75" s="11">
        <f t="shared" si="7"/>
        <v>93607.820382653241</v>
      </c>
    </row>
    <row r="76" spans="1:8" x14ac:dyDescent="0.25">
      <c r="A76" s="1">
        <v>44896</v>
      </c>
      <c r="B76" s="8">
        <f t="shared" si="12"/>
        <v>78341.751787587622</v>
      </c>
      <c r="C76" s="8">
        <f t="shared" si="13"/>
        <v>76774.916751835874</v>
      </c>
      <c r="H76" s="11">
        <f t="shared" si="7"/>
        <v>91735.663975000178</v>
      </c>
    </row>
    <row r="77" spans="1:8" x14ac:dyDescent="0.25">
      <c r="A77" s="1">
        <v>44927</v>
      </c>
      <c r="B77" s="8">
        <f t="shared" si="12"/>
        <v>76774.916751835874</v>
      </c>
      <c r="C77" s="8">
        <f t="shared" si="13"/>
        <v>75239.418416799163</v>
      </c>
      <c r="H77" s="11">
        <f>H76-(H76*$C$1)+(E77*$E$2)+(F77*$F$2)+(G77*$G$2)</f>
        <v>89900.950695500171</v>
      </c>
    </row>
    <row r="78" spans="1:8" x14ac:dyDescent="0.25">
      <c r="A78" s="1">
        <v>44958</v>
      </c>
      <c r="B78" s="8">
        <f t="shared" si="12"/>
        <v>75239.418416799163</v>
      </c>
      <c r="C78" s="8">
        <f t="shared" si="13"/>
        <v>73734.630048463179</v>
      </c>
      <c r="H78" s="11">
        <f>H77-(H77*$C$1)+(E78*$E$2)+(F78*$F$2)+(G78*$G$2)</f>
        <v>88102.931681590169</v>
      </c>
    </row>
    <row r="79" spans="1:8" x14ac:dyDescent="0.25">
      <c r="A79" s="1">
        <v>44986</v>
      </c>
      <c r="B79" s="8">
        <f t="shared" si="12"/>
        <v>73734.630048463179</v>
      </c>
      <c r="C79" s="8">
        <f t="shared" si="13"/>
        <v>72259.93744749391</v>
      </c>
      <c r="H79" s="11">
        <f>H78-(H78*$C$1)+(E79*$E$2)+(F79*$F$2)+(G79*$G$2)</f>
        <v>86340.873047958361</v>
      </c>
    </row>
    <row r="80" spans="1:8" x14ac:dyDescent="0.25">
      <c r="A80" s="1">
        <v>45017</v>
      </c>
      <c r="B80" s="8">
        <f t="shared" si="12"/>
        <v>72259.93744749391</v>
      </c>
      <c r="C80" s="8">
        <f t="shared" si="13"/>
        <v>70814.738698544039</v>
      </c>
      <c r="H80" s="11">
        <f>H79-(H79*$C$1)+(E80*$E$2)+(F80*$F$2)+(G80*$G$2)</f>
        <v>84614.055586999195</v>
      </c>
    </row>
    <row r="81" spans="1:8" x14ac:dyDescent="0.25">
      <c r="A81" s="1">
        <v>45047</v>
      </c>
      <c r="B81" s="8">
        <f t="shared" si="12"/>
        <v>70814.738698544039</v>
      </c>
      <c r="C81" s="8">
        <f t="shared" si="13"/>
        <v>69398.443924573163</v>
      </c>
      <c r="H81" s="11">
        <f>H80-(H80*$C$1)+(E81*$E$2)+(F81*$F$2)+(G81*$G$2)</f>
        <v>82921.774475259212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76"/>
  <sheetViews>
    <sheetView topLeftCell="G1" workbookViewId="0">
      <pane ySplit="3" topLeftCell="A41" activePane="bottomLeft" state="frozen"/>
      <selection pane="bottomLeft" activeCell="AA54" sqref="AA54"/>
    </sheetView>
  </sheetViews>
  <sheetFormatPr defaultRowHeight="15" x14ac:dyDescent="0.25"/>
  <cols>
    <col min="1" max="1" width="11" customWidth="1"/>
    <col min="2" max="2" width="15" customWidth="1"/>
    <col min="3" max="3" width="18.85546875" customWidth="1"/>
    <col min="4" max="4" width="24.7109375" customWidth="1"/>
    <col min="5" max="5" width="9.42578125" customWidth="1"/>
    <col min="6" max="6" width="10.5703125" customWidth="1"/>
    <col min="7" max="7" width="9.42578125" customWidth="1"/>
    <col min="8" max="9" width="10.7109375" customWidth="1"/>
    <col min="10" max="19" width="9.85546875" customWidth="1"/>
    <col min="20" max="21" width="10.7109375" customWidth="1"/>
    <col min="22" max="22" width="12.140625" customWidth="1"/>
    <col min="23" max="23" width="10" customWidth="1"/>
    <col min="24" max="26" width="10.42578125" customWidth="1"/>
    <col min="27" max="27" width="10.85546875" customWidth="1"/>
  </cols>
  <sheetData>
    <row r="1" spans="1:30" x14ac:dyDescent="0.25">
      <c r="A1" s="6" t="s">
        <v>67</v>
      </c>
      <c r="C1" s="5">
        <v>4.0000000000000001E-3</v>
      </c>
      <c r="D1" s="7" t="s">
        <v>69</v>
      </c>
      <c r="E1" s="39" t="s">
        <v>113</v>
      </c>
      <c r="F1" s="39"/>
      <c r="G1" s="39" t="s">
        <v>123</v>
      </c>
      <c r="H1" s="39"/>
      <c r="I1" s="39" t="s">
        <v>127</v>
      </c>
      <c r="J1" s="39"/>
      <c r="K1" s="39" t="s">
        <v>132</v>
      </c>
      <c r="L1" s="39"/>
      <c r="M1" s="39" t="s">
        <v>143</v>
      </c>
      <c r="N1" s="39"/>
      <c r="O1" s="39" t="s">
        <v>177</v>
      </c>
      <c r="P1" s="39"/>
      <c r="Q1" s="39" t="s">
        <v>173</v>
      </c>
      <c r="R1" s="39"/>
      <c r="S1" s="39" t="s">
        <v>156</v>
      </c>
      <c r="T1" s="39"/>
      <c r="U1" s="39" t="s">
        <v>213</v>
      </c>
      <c r="V1" s="40"/>
      <c r="W1" s="37" t="s">
        <v>195</v>
      </c>
      <c r="X1" s="38"/>
      <c r="Y1" s="37" t="s">
        <v>170</v>
      </c>
      <c r="Z1" s="38"/>
      <c r="AA1" s="28"/>
      <c r="AB1" s="29"/>
    </row>
    <row r="2" spans="1:30" x14ac:dyDescent="0.25">
      <c r="C2" s="5"/>
      <c r="D2" s="5" t="s">
        <v>208</v>
      </c>
      <c r="E2" s="5">
        <v>0.2</v>
      </c>
      <c r="F2" s="5">
        <v>-0.01</v>
      </c>
      <c r="G2" s="5">
        <v>0.28853000000000001</v>
      </c>
      <c r="H2" s="5">
        <v>0.01</v>
      </c>
      <c r="I2" s="5">
        <v>0.1386</v>
      </c>
      <c r="J2" s="5">
        <v>0.01</v>
      </c>
      <c r="K2" s="5">
        <v>0.142567</v>
      </c>
      <c r="L2" s="5">
        <v>0.01</v>
      </c>
      <c r="M2" s="5">
        <v>0.45</v>
      </c>
      <c r="N2" s="5">
        <v>0.03</v>
      </c>
      <c r="O2" s="5">
        <v>0.22620000000000001</v>
      </c>
      <c r="P2" s="5">
        <v>1.4999999999999999E-2</v>
      </c>
      <c r="Q2" s="5">
        <v>0.32</v>
      </c>
      <c r="R2" s="5">
        <v>0.04</v>
      </c>
      <c r="S2" s="5">
        <v>0.17</v>
      </c>
      <c r="T2" s="5">
        <v>0.01</v>
      </c>
      <c r="U2" s="5">
        <v>0.44498199999999999</v>
      </c>
      <c r="V2" s="5">
        <v>0.01</v>
      </c>
      <c r="W2" s="5">
        <v>0.15</v>
      </c>
      <c r="X2" s="5">
        <v>1E-3</v>
      </c>
      <c r="Y2" s="5">
        <v>0.5</v>
      </c>
      <c r="Z2" s="5">
        <v>0.01</v>
      </c>
      <c r="AA2" s="30">
        <v>0</v>
      </c>
    </row>
    <row r="3" spans="1:30" x14ac:dyDescent="0.25">
      <c r="A3" t="s">
        <v>7</v>
      </c>
      <c r="B3" t="s">
        <v>8</v>
      </c>
      <c r="C3" t="s">
        <v>21</v>
      </c>
      <c r="D3" t="s">
        <v>214</v>
      </c>
      <c r="E3" s="27" t="s">
        <v>209</v>
      </c>
      <c r="F3" s="27" t="s">
        <v>210</v>
      </c>
      <c r="G3" s="27" t="s">
        <v>209</v>
      </c>
      <c r="H3" s="27" t="s">
        <v>210</v>
      </c>
      <c r="I3" s="27" t="s">
        <v>209</v>
      </c>
      <c r="J3" s="27" t="s">
        <v>210</v>
      </c>
      <c r="K3" s="27" t="s">
        <v>209</v>
      </c>
      <c r="L3" s="27" t="s">
        <v>210</v>
      </c>
      <c r="M3" s="27" t="s">
        <v>209</v>
      </c>
      <c r="N3" s="27" t="s">
        <v>210</v>
      </c>
      <c r="O3" s="27" t="s">
        <v>209</v>
      </c>
      <c r="P3" s="27" t="s">
        <v>210</v>
      </c>
      <c r="Q3" s="27" t="s">
        <v>209</v>
      </c>
      <c r="R3" s="27" t="s">
        <v>210</v>
      </c>
      <c r="S3" s="27" t="s">
        <v>209</v>
      </c>
      <c r="T3" s="27" t="s">
        <v>210</v>
      </c>
      <c r="U3" s="27" t="s">
        <v>209</v>
      </c>
      <c r="V3" s="27" t="s">
        <v>210</v>
      </c>
      <c r="W3" s="27" t="s">
        <v>209</v>
      </c>
      <c r="X3" s="27" t="s">
        <v>210</v>
      </c>
      <c r="Y3" s="27" t="s">
        <v>209</v>
      </c>
      <c r="Z3" s="27" t="s">
        <v>210</v>
      </c>
      <c r="AA3" s="32" t="s">
        <v>224</v>
      </c>
      <c r="AB3" t="s">
        <v>10</v>
      </c>
      <c r="AC3" t="s">
        <v>12</v>
      </c>
    </row>
    <row r="5" spans="1:30" x14ac:dyDescent="0.25">
      <c r="A5" s="1">
        <v>42736</v>
      </c>
      <c r="B5">
        <v>0</v>
      </c>
      <c r="C5" s="8">
        <f>B5-(B5*$C$1)</f>
        <v>0</v>
      </c>
      <c r="X5">
        <v>0</v>
      </c>
      <c r="AA5">
        <v>0</v>
      </c>
      <c r="AB5" s="8">
        <f t="shared" ref="AB5:AB27" si="0">C5+(X5*$X$2)+(AA5*$AA$2)</f>
        <v>0</v>
      </c>
    </row>
    <row r="6" spans="1:30" x14ac:dyDescent="0.25">
      <c r="A6" s="1">
        <v>42767</v>
      </c>
      <c r="B6" s="8">
        <f>IF(AC5=0,AB5,AC5)</f>
        <v>0</v>
      </c>
      <c r="C6" s="8">
        <f t="shared" ref="C6:C69" si="1">B6-(B6*$C$1)</f>
        <v>0</v>
      </c>
      <c r="AB6" s="8">
        <f t="shared" si="0"/>
        <v>0</v>
      </c>
    </row>
    <row r="7" spans="1:30" x14ac:dyDescent="0.25">
      <c r="A7" s="1">
        <v>42795</v>
      </c>
      <c r="B7" s="8">
        <f t="shared" ref="B7:B43" si="2">IF(AC6=0,AB6,AC6)</f>
        <v>0</v>
      </c>
      <c r="C7" s="8">
        <f t="shared" si="1"/>
        <v>0</v>
      </c>
      <c r="AB7" s="8">
        <f t="shared" si="0"/>
        <v>0</v>
      </c>
    </row>
    <row r="8" spans="1:30" x14ac:dyDescent="0.25">
      <c r="A8" s="1">
        <v>42826</v>
      </c>
      <c r="B8" s="8">
        <f t="shared" si="2"/>
        <v>0</v>
      </c>
      <c r="C8" s="8">
        <f t="shared" si="1"/>
        <v>0</v>
      </c>
      <c r="AB8" s="8">
        <f t="shared" si="0"/>
        <v>0</v>
      </c>
    </row>
    <row r="9" spans="1:30" x14ac:dyDescent="0.25">
      <c r="A9" s="1">
        <v>42856</v>
      </c>
      <c r="B9" s="8">
        <f t="shared" si="2"/>
        <v>0</v>
      </c>
      <c r="C9" s="8">
        <f t="shared" si="1"/>
        <v>0</v>
      </c>
      <c r="AB9" s="8">
        <f t="shared" si="0"/>
        <v>0</v>
      </c>
    </row>
    <row r="10" spans="1:30" x14ac:dyDescent="0.25">
      <c r="A10" s="1">
        <v>42887</v>
      </c>
      <c r="B10" s="8">
        <f t="shared" si="2"/>
        <v>0</v>
      </c>
      <c r="C10" s="8">
        <f t="shared" si="1"/>
        <v>0</v>
      </c>
      <c r="AB10" s="8">
        <f t="shared" si="0"/>
        <v>0</v>
      </c>
    </row>
    <row r="11" spans="1:30" x14ac:dyDescent="0.25">
      <c r="A11" s="1">
        <v>42917</v>
      </c>
      <c r="B11" s="8">
        <f t="shared" si="2"/>
        <v>0</v>
      </c>
      <c r="C11" s="8">
        <f t="shared" si="1"/>
        <v>0</v>
      </c>
      <c r="AB11" s="8">
        <f t="shared" si="0"/>
        <v>0</v>
      </c>
    </row>
    <row r="12" spans="1:30" x14ac:dyDescent="0.25">
      <c r="A12" s="1">
        <v>42948</v>
      </c>
      <c r="B12" s="8">
        <f t="shared" si="2"/>
        <v>0</v>
      </c>
      <c r="C12" s="8">
        <f t="shared" si="1"/>
        <v>0</v>
      </c>
      <c r="AB12" s="8">
        <f t="shared" si="0"/>
        <v>0</v>
      </c>
    </row>
    <row r="13" spans="1:30" x14ac:dyDescent="0.25">
      <c r="A13" s="1">
        <v>42979</v>
      </c>
      <c r="B13" s="8">
        <f t="shared" si="2"/>
        <v>0</v>
      </c>
      <c r="C13" s="8">
        <f t="shared" si="1"/>
        <v>0</v>
      </c>
      <c r="AB13" s="8">
        <f t="shared" si="0"/>
        <v>0</v>
      </c>
    </row>
    <row r="14" spans="1:30" x14ac:dyDescent="0.25">
      <c r="A14" s="1">
        <v>43009</v>
      </c>
      <c r="B14" s="8">
        <f t="shared" si="2"/>
        <v>0</v>
      </c>
      <c r="C14" s="8">
        <f t="shared" si="1"/>
        <v>0</v>
      </c>
      <c r="AB14" s="8">
        <f t="shared" si="0"/>
        <v>0</v>
      </c>
    </row>
    <row r="15" spans="1:30" x14ac:dyDescent="0.25">
      <c r="A15" s="1">
        <v>43040</v>
      </c>
      <c r="B15" s="8">
        <f t="shared" si="2"/>
        <v>0</v>
      </c>
      <c r="C15" s="8">
        <f t="shared" si="1"/>
        <v>0</v>
      </c>
      <c r="AB15" s="8">
        <f t="shared" si="0"/>
        <v>0</v>
      </c>
    </row>
    <row r="16" spans="1:30" x14ac:dyDescent="0.25">
      <c r="A16" s="1">
        <v>43070</v>
      </c>
      <c r="B16" s="8">
        <f t="shared" si="2"/>
        <v>0</v>
      </c>
      <c r="C16" s="8">
        <f t="shared" si="1"/>
        <v>0</v>
      </c>
      <c r="AB16" s="8">
        <f t="shared" si="0"/>
        <v>0</v>
      </c>
      <c r="AD16">
        <f>SUM(AB5:AB16)/12</f>
        <v>0</v>
      </c>
    </row>
    <row r="17" spans="1:29" x14ac:dyDescent="0.25">
      <c r="A17" s="1">
        <v>43101</v>
      </c>
      <c r="B17" s="8">
        <f t="shared" si="2"/>
        <v>0</v>
      </c>
      <c r="C17" s="8">
        <f t="shared" si="1"/>
        <v>0</v>
      </c>
      <c r="AB17" s="8">
        <f t="shared" si="0"/>
        <v>0</v>
      </c>
    </row>
    <row r="18" spans="1:29" x14ac:dyDescent="0.25">
      <c r="A18" s="1">
        <v>43132</v>
      </c>
      <c r="B18" s="8">
        <f t="shared" si="2"/>
        <v>0</v>
      </c>
      <c r="C18" s="8">
        <f t="shared" si="1"/>
        <v>0</v>
      </c>
      <c r="AB18" s="8">
        <f t="shared" si="0"/>
        <v>0</v>
      </c>
    </row>
    <row r="19" spans="1:29" x14ac:dyDescent="0.25">
      <c r="A19" s="1">
        <v>43160</v>
      </c>
      <c r="B19" s="8">
        <f t="shared" si="2"/>
        <v>0</v>
      </c>
      <c r="C19" s="8">
        <f t="shared" si="1"/>
        <v>0</v>
      </c>
      <c r="AB19" s="8">
        <f t="shared" si="0"/>
        <v>0</v>
      </c>
    </row>
    <row r="20" spans="1:29" x14ac:dyDescent="0.25">
      <c r="A20" s="1">
        <v>43191</v>
      </c>
      <c r="B20" s="8">
        <f t="shared" si="2"/>
        <v>0</v>
      </c>
      <c r="C20" s="8">
        <f t="shared" si="1"/>
        <v>0</v>
      </c>
      <c r="AB20" s="8">
        <f t="shared" si="0"/>
        <v>0</v>
      </c>
    </row>
    <row r="21" spans="1:29" x14ac:dyDescent="0.25">
      <c r="A21" s="1">
        <v>43221</v>
      </c>
      <c r="B21" s="8">
        <f t="shared" si="2"/>
        <v>0</v>
      </c>
      <c r="C21" s="8">
        <f t="shared" si="1"/>
        <v>0</v>
      </c>
      <c r="AB21" s="8">
        <f t="shared" si="0"/>
        <v>0</v>
      </c>
    </row>
    <row r="22" spans="1:29" x14ac:dyDescent="0.25">
      <c r="A22" s="1">
        <v>43252</v>
      </c>
      <c r="B22" s="8">
        <f t="shared" si="2"/>
        <v>0</v>
      </c>
      <c r="C22" s="8">
        <f t="shared" si="1"/>
        <v>0</v>
      </c>
      <c r="AB22" s="8">
        <f t="shared" si="0"/>
        <v>0</v>
      </c>
    </row>
    <row r="23" spans="1:29" x14ac:dyDescent="0.25">
      <c r="A23" s="1">
        <v>43282</v>
      </c>
      <c r="B23" s="8">
        <f t="shared" si="2"/>
        <v>0</v>
      </c>
      <c r="C23" s="8">
        <f t="shared" si="1"/>
        <v>0</v>
      </c>
      <c r="AB23" s="8">
        <f t="shared" si="0"/>
        <v>0</v>
      </c>
    </row>
    <row r="24" spans="1:29" x14ac:dyDescent="0.25">
      <c r="A24" s="1">
        <v>43313</v>
      </c>
      <c r="B24" s="8">
        <f t="shared" si="2"/>
        <v>0</v>
      </c>
      <c r="C24" s="8">
        <f t="shared" si="1"/>
        <v>0</v>
      </c>
      <c r="AB24" s="8">
        <f t="shared" si="0"/>
        <v>0</v>
      </c>
    </row>
    <row r="25" spans="1:29" x14ac:dyDescent="0.25">
      <c r="A25" s="1">
        <v>43344</v>
      </c>
      <c r="B25" s="8">
        <f t="shared" si="2"/>
        <v>0</v>
      </c>
      <c r="C25" s="8">
        <f t="shared" si="1"/>
        <v>0</v>
      </c>
      <c r="AB25" s="8">
        <f t="shared" si="0"/>
        <v>0</v>
      </c>
    </row>
    <row r="26" spans="1:29" x14ac:dyDescent="0.25">
      <c r="A26" s="1">
        <v>43374</v>
      </c>
      <c r="B26" s="8">
        <f t="shared" si="2"/>
        <v>0</v>
      </c>
      <c r="C26" s="8">
        <f t="shared" si="1"/>
        <v>0</v>
      </c>
      <c r="AB26" s="8">
        <f t="shared" si="0"/>
        <v>0</v>
      </c>
    </row>
    <row r="27" spans="1:29" x14ac:dyDescent="0.25">
      <c r="A27" s="1">
        <v>43405</v>
      </c>
      <c r="B27" s="8">
        <f t="shared" si="2"/>
        <v>0</v>
      </c>
      <c r="C27" s="8">
        <f t="shared" si="1"/>
        <v>0</v>
      </c>
      <c r="AB27" s="8">
        <f t="shared" si="0"/>
        <v>0</v>
      </c>
    </row>
    <row r="28" spans="1:29" x14ac:dyDescent="0.25">
      <c r="A28" s="1">
        <v>43435</v>
      </c>
      <c r="B28" s="8">
        <f t="shared" si="2"/>
        <v>0</v>
      </c>
      <c r="C28" s="8">
        <f t="shared" si="1"/>
        <v>0</v>
      </c>
      <c r="AB28" s="8">
        <v>18100</v>
      </c>
    </row>
    <row r="29" spans="1:29" x14ac:dyDescent="0.25">
      <c r="A29" s="1">
        <v>43466</v>
      </c>
      <c r="B29" s="8">
        <f t="shared" si="2"/>
        <v>18100</v>
      </c>
      <c r="C29" s="8">
        <f t="shared" si="1"/>
        <v>18027.599999999999</v>
      </c>
      <c r="E29">
        <v>34585</v>
      </c>
      <c r="F29" s="2">
        <f>(E29*6.2898)/Oljepris!D28*'Norge-UK'!$E$2</f>
        <v>1403.4369870967741</v>
      </c>
      <c r="G29" s="2">
        <v>36132</v>
      </c>
      <c r="H29" s="2">
        <f>IF(G29&gt;0,G29*6.2898*$G$2/Oljepris!D28,H28-H28*$H$2)</f>
        <v>2115.2325437163868</v>
      </c>
      <c r="I29" s="2">
        <v>1059</v>
      </c>
      <c r="J29" s="2">
        <f>IF(I29&gt;0,I29/0.2*6.2898*I$2/Oljepris!$D28,J28-J28*J$2)</f>
        <v>148.90330492258062</v>
      </c>
      <c r="K29" s="2">
        <v>46712</v>
      </c>
      <c r="L29" s="2">
        <f>IF(K29&gt;0,K29*6.2898*K$2/Oljepris!$D28,L28-L28*L$2)</f>
        <v>1351.2092683941676</v>
      </c>
      <c r="M29" s="2">
        <v>19622</v>
      </c>
      <c r="N29" s="2">
        <f>IF(M29&gt;0,M29*6.2898*M$2/Oljepris!$D28,N28-N28*N$2)</f>
        <v>1791.5582264516127</v>
      </c>
      <c r="O29" s="2">
        <v>25905</v>
      </c>
      <c r="P29" s="2">
        <f>IF(O29&gt;0,O29*6.2898*O$2/Oljepris!$D28,P28-P28*P$2)</f>
        <v>1188.9164596064516</v>
      </c>
      <c r="Q29" s="2">
        <v>79555</v>
      </c>
      <c r="R29" s="2">
        <f>IF(Q29&gt;0,Q29*6.2898*Q$2/Oljepris!$D28,R28-R28*R$2)</f>
        <v>5165.2649187096767</v>
      </c>
      <c r="S29" s="2">
        <v>62251</v>
      </c>
      <c r="T29" s="2">
        <f>IF(S29&gt;0,S29*6.2898*S$2/Oljepris!$D28,T28-T28*T$2)</f>
        <v>2147.1896053548385</v>
      </c>
      <c r="U29" s="2">
        <v>1409</v>
      </c>
      <c r="V29" s="2">
        <f>IF(U29&gt;0,U29/0.18*6.2898*U$2/Oljepris!$D28,V28-V28*V$2)</f>
        <v>706.73414464021505</v>
      </c>
      <c r="W29">
        <v>0</v>
      </c>
      <c r="X29" s="2">
        <f>IF(W29&gt;0,W29*6.2898*W$2/Oljepris!$D28,X28-X28*X$2)</f>
        <v>0</v>
      </c>
      <c r="Y29" s="2">
        <v>19592</v>
      </c>
      <c r="Z29" s="2">
        <f>IF(Y29&gt;0,Y29*6.2898*Y$2/Oljepris!$D28,Z28-Z28*Z$2)</f>
        <v>1987.5768</v>
      </c>
      <c r="AA29" s="2">
        <f>Z29+X29+V29+T29+R29+P29+N29+L29+J29+H29+F29</f>
        <v>18006.022258892703</v>
      </c>
      <c r="AB29" s="8">
        <f>AA29</f>
        <v>18006.022258892703</v>
      </c>
      <c r="AC29" s="2">
        <f t="shared" ref="AC29:AC36" si="3">AA29</f>
        <v>18006.022258892703</v>
      </c>
    </row>
    <row r="30" spans="1:29" x14ac:dyDescent="0.25">
      <c r="A30" s="1">
        <v>43497</v>
      </c>
      <c r="B30" s="8">
        <f t="shared" si="2"/>
        <v>18006.022258892703</v>
      </c>
      <c r="C30" s="8">
        <f t="shared" si="1"/>
        <v>17933.998169857132</v>
      </c>
      <c r="E30">
        <v>30319</v>
      </c>
      <c r="F30" s="2">
        <f>(E30*6.2898)/Oljepris!D29*'Norge-UK'!$E$2</f>
        <v>1362.1460442857142</v>
      </c>
      <c r="G30" s="2">
        <v>36861</v>
      </c>
      <c r="H30" s="2">
        <f>IF(G30&gt;0,G30*6.2898*$G$2/Oljepris!D29,H29-H29*$H$2)</f>
        <v>2389.1141119583567</v>
      </c>
      <c r="I30" s="2">
        <v>1150</v>
      </c>
      <c r="J30" s="2">
        <f>IF(I30&gt;0,I30/0.2*6.2898*I$2/Oljepris!$D29,J29-J29*J$2)</f>
        <v>179.02343249999998</v>
      </c>
      <c r="K30" s="2">
        <v>44133</v>
      </c>
      <c r="L30" s="2">
        <f>IF(K30&gt;0,K30*6.2898*K$2/Oljepris!$D29,L29-L29*L$2)</f>
        <v>1413.3875647609927</v>
      </c>
      <c r="M30" s="2">
        <v>10716</v>
      </c>
      <c r="N30" s="2">
        <f>IF(M30&gt;0,M30*6.2898*M$2/Oljepris!$D29,N29-N29*N$2)</f>
        <v>1083.2383414285714</v>
      </c>
      <c r="O30" s="2">
        <v>26362</v>
      </c>
      <c r="P30" s="2">
        <f>IF(O30&gt;0,O30*6.2898*O$2/Oljepris!$D29,P29-P29*P$2)</f>
        <v>1339.52172354</v>
      </c>
      <c r="Q30" s="2">
        <v>75450</v>
      </c>
      <c r="R30" s="2">
        <f>IF(Q30&gt;0,Q30*6.2898*Q$2/Oljepris!$D29,R29-R29*R$2)</f>
        <v>5423.6046857142856</v>
      </c>
      <c r="S30" s="2">
        <v>55869</v>
      </c>
      <c r="T30" s="2">
        <f>IF(S30&gt;0,S30*6.2898*S$2/Oljepris!$D29,T29-T29*T$2)</f>
        <v>2133.529362642857</v>
      </c>
      <c r="U30" s="2">
        <v>1429</v>
      </c>
      <c r="V30" s="2">
        <f>IF(U30&gt;0,U30/0.18*6.2898*U$2/Oljepris!$D29,V29-V29*V$2)</f>
        <v>793.56219896119057</v>
      </c>
      <c r="W30">
        <v>0</v>
      </c>
      <c r="X30" s="2">
        <f>IF(W30&gt;0,W30*6.2898*W$2/Oljepris!$D29,X29-X29*X$2)</f>
        <v>0</v>
      </c>
      <c r="Y30" s="2">
        <v>24126</v>
      </c>
      <c r="Z30" s="2">
        <f>IF(Y30&gt;0,Y30*6.2898*Y$2/Oljepris!$D29,Z29-Z29*Z$2)</f>
        <v>2709.7806214285711</v>
      </c>
      <c r="AA30" s="2">
        <f t="shared" ref="AA30:AA76" si="4">Z30+X30+V30+T30+R30+P30+N30+L30+J30+H30+F30</f>
        <v>18826.908087220538</v>
      </c>
      <c r="AB30" s="8">
        <f>AA30</f>
        <v>18826.908087220538</v>
      </c>
      <c r="AC30" s="2">
        <f t="shared" si="3"/>
        <v>18826.908087220538</v>
      </c>
    </row>
    <row r="31" spans="1:29" x14ac:dyDescent="0.25">
      <c r="A31" s="1">
        <v>43525</v>
      </c>
      <c r="B31" s="8">
        <f t="shared" si="2"/>
        <v>18826.908087220538</v>
      </c>
      <c r="C31" s="8">
        <f t="shared" si="1"/>
        <v>18751.600454871656</v>
      </c>
      <c r="D31" t="s">
        <v>215</v>
      </c>
      <c r="E31">
        <v>41744</v>
      </c>
      <c r="F31" s="2">
        <f>(E31*6.2898)/Oljepris!D30*'Norge-UK'!$E$2</f>
        <v>1693.9445883870967</v>
      </c>
      <c r="G31" s="2">
        <v>43395</v>
      </c>
      <c r="H31" s="2">
        <f>IF(G31&gt;0,G31*6.2898*$G$2/Oljepris!D30,H30-H30*$H$2)</f>
        <v>2540.4216825687095</v>
      </c>
      <c r="I31" s="2">
        <v>1360</v>
      </c>
      <c r="J31" s="2">
        <f>IF(I31&gt;0,I31/0.2*6.2898*I$2/Oljepris!$D30,J30-J30*J$2)</f>
        <v>191.2261517419355</v>
      </c>
      <c r="K31" s="2">
        <v>46566</v>
      </c>
      <c r="L31" s="2">
        <f>IF(K31&gt;0,K31*6.2898*K$2/Oljepris!$D30,L30-L30*L$2)</f>
        <v>1346.9860162708258</v>
      </c>
      <c r="M31" s="2">
        <v>20630</v>
      </c>
      <c r="N31" s="2">
        <f>IF(M31&gt;0,M31*6.2898*M$2/Oljepris!$D30,N30-N30*N$2)</f>
        <v>1883.5922032258065</v>
      </c>
      <c r="O31" s="2">
        <v>26663</v>
      </c>
      <c r="P31" s="2">
        <f>IF(O31&gt;0,O31*6.2898*O$2/Oljepris!$D30,P30-P30*P$2)</f>
        <v>1223.7050593509678</v>
      </c>
      <c r="Q31" s="2">
        <v>82653</v>
      </c>
      <c r="R31" s="2">
        <f>IF(Q31&gt;0,Q31*6.2898*Q$2/Oljepris!$D30,R30-R30*R$2)</f>
        <v>5366.4086647741942</v>
      </c>
      <c r="S31" s="2">
        <v>23596</v>
      </c>
      <c r="T31" s="2">
        <f>IF(S31&gt;0,S31*6.2898*S$2/Oljepris!$D30,T30-T30*T$2)</f>
        <v>813.88388825806453</v>
      </c>
      <c r="U31" s="2">
        <v>1050</v>
      </c>
      <c r="V31" s="2">
        <f>IF(U31&gt;0,U31/0.18*6.2898*U$2/Oljepris!$D30,V30-V30*V$2)</f>
        <v>526.66490551612901</v>
      </c>
      <c r="W31">
        <v>11443</v>
      </c>
      <c r="X31" s="2">
        <f>IF(W31&gt;0,W31*6.2898*W$2/Oljepris!$D30,X30-X30*X$2)</f>
        <v>348.26216806451617</v>
      </c>
      <c r="Y31" s="2">
        <v>24656</v>
      </c>
      <c r="Z31" s="2">
        <f>IF(Y31&gt;0,Y31*6.2898*Y$2/Oljepris!$D30,Z30-Z30*Z$2)</f>
        <v>2501.3114322580645</v>
      </c>
      <c r="AA31" s="2">
        <f t="shared" si="4"/>
        <v>18436.406760416314</v>
      </c>
      <c r="AB31" s="8">
        <f>AA31</f>
        <v>18436.406760416314</v>
      </c>
      <c r="AC31" s="2">
        <f t="shared" si="3"/>
        <v>18436.406760416314</v>
      </c>
    </row>
    <row r="32" spans="1:29" x14ac:dyDescent="0.25">
      <c r="A32" s="1">
        <v>43556</v>
      </c>
      <c r="B32" s="8">
        <f t="shared" si="2"/>
        <v>18436.406760416314</v>
      </c>
      <c r="C32" s="8">
        <f t="shared" si="1"/>
        <v>18362.661133374648</v>
      </c>
      <c r="E32">
        <v>29332</v>
      </c>
      <c r="F32" s="2">
        <f>(E32*6.2898)/Oljepris!D31*'Norge-UK'!$E$2</f>
        <v>1229.9494240000001</v>
      </c>
      <c r="G32" s="2">
        <v>36901</v>
      </c>
      <c r="H32" s="2">
        <f>IF(G32&gt;0,G32*6.2898*$G$2/Oljepris!D31,H31-H31*$H$2)</f>
        <v>2232.2595658197997</v>
      </c>
      <c r="I32" s="2">
        <v>0.01</v>
      </c>
      <c r="J32" s="2">
        <f>IF(I32&gt;0,I32/0.2*6.2898*I$2/Oljepris!$D31,J31-J31*J$2)</f>
        <v>1.4529437999999996E-3</v>
      </c>
      <c r="K32" s="2">
        <v>53730</v>
      </c>
      <c r="L32" s="2">
        <f>IF(K32&gt;0,K32*6.2898*K$2/Oljepris!$D31,L31-L31*L$2)</f>
        <v>1606.0217886305998</v>
      </c>
      <c r="M32" s="2">
        <v>19621</v>
      </c>
      <c r="N32" s="2">
        <f>IF(M32&gt;0,M32*6.2898*M$2/Oljepris!$D31,N31-N31*N$2)</f>
        <v>1851.1824869999998</v>
      </c>
      <c r="O32" s="2">
        <v>27832</v>
      </c>
      <c r="P32" s="2">
        <f>IF(O32&gt;0,O32*6.2898*O$2/Oljepris!$D31,P31-P31*P$2)</f>
        <v>1319.9351605439999</v>
      </c>
      <c r="Q32" s="2">
        <v>78564</v>
      </c>
      <c r="R32" s="2">
        <f>IF(Q32&gt;0,Q32*6.2898*Q$2/Oljepris!$D31,R31-R31*R$2)</f>
        <v>5270.9530367999996</v>
      </c>
      <c r="S32" s="2">
        <v>30358</v>
      </c>
      <c r="T32" s="2">
        <f>IF(S32&gt;0,S32*6.2898*S$2/Oljepris!$D31,T31-T31*T$2)</f>
        <v>1082.0259076</v>
      </c>
      <c r="U32" s="2">
        <v>1429</v>
      </c>
      <c r="V32" s="2">
        <f>IF(U32&gt;0,U32/0.18*6.2898*U$2/Oljepris!$D31,V31-V31*V$2)</f>
        <v>740.65805236377787</v>
      </c>
      <c r="W32">
        <v>93840</v>
      </c>
      <c r="X32" s="2">
        <f>IF(W32&gt;0,W32*6.2898*W$2/Oljepris!$D31,X31-X31*X$2)</f>
        <v>2951.1741599999996</v>
      </c>
      <c r="Y32" s="2">
        <v>19281</v>
      </c>
      <c r="Z32" s="2">
        <f>IF(Y32&gt;0,Y32*6.2898*Y$2/Oljepris!$D31,Z31-Z31*Z$2)</f>
        <v>2021.22723</v>
      </c>
      <c r="AA32" s="2">
        <f t="shared" si="4"/>
        <v>20305.388265701975</v>
      </c>
      <c r="AB32" s="8">
        <f>AA32</f>
        <v>20305.388265701975</v>
      </c>
      <c r="AC32" s="2">
        <f t="shared" si="3"/>
        <v>20305.388265701975</v>
      </c>
    </row>
    <row r="33" spans="1:30" x14ac:dyDescent="0.25">
      <c r="A33" s="1">
        <v>43586</v>
      </c>
      <c r="B33" s="8">
        <f t="shared" si="2"/>
        <v>20305.388265701975</v>
      </c>
      <c r="C33" s="8">
        <f t="shared" si="1"/>
        <v>20224.166712639166</v>
      </c>
      <c r="E33">
        <v>26525</v>
      </c>
      <c r="F33" s="2">
        <f>(E33*6.2898)/Oljepris!D32*'Norge-UK'!$E$2</f>
        <v>1076.3673870967741</v>
      </c>
      <c r="G33" s="2">
        <v>32146</v>
      </c>
      <c r="H33" s="2">
        <f>IF(G33&gt;0,G33*6.2898*$G$2/Oljepris!D32,H32-H32*$H$2)</f>
        <v>1881.8849039717418</v>
      </c>
      <c r="I33" s="2">
        <v>0</v>
      </c>
      <c r="J33" s="2">
        <f>IF(I33&gt;0,I33/0.2*6.2898*I$2/Oljepris!$D32,J32-J32*J$2)</f>
        <v>1.4384143619999995E-3</v>
      </c>
      <c r="K33" s="2">
        <v>54173</v>
      </c>
      <c r="L33" s="2">
        <f>IF(K33&gt;0,K33*6.2898*K$2/Oljepris!$D32,L32-L32*L$2)</f>
        <v>1567.0290224507032</v>
      </c>
      <c r="M33" s="2">
        <v>14743</v>
      </c>
      <c r="N33" s="2">
        <f>IF(M33&gt;0,M33*6.2898*M$2/Oljepris!$D32,N32-N32*N$2)</f>
        <v>1346.0882138709678</v>
      </c>
      <c r="O33" s="2">
        <v>23735</v>
      </c>
      <c r="P33" s="2">
        <f>IF(O33&gt;0,O33*6.2898*O$2/Oljepris!$D32,P32-P32*P$2)</f>
        <v>1089.3237664064516</v>
      </c>
      <c r="Q33" s="2">
        <v>80328</v>
      </c>
      <c r="R33" s="2">
        <f>IF(Q33&gt;0,Q33*6.2898*Q$2/Oljepris!$D32,R32-R32*R$2)</f>
        <v>5215.453464774193</v>
      </c>
      <c r="S33" s="2">
        <v>57559</v>
      </c>
      <c r="T33" s="2">
        <f>IF(S33&gt;0,S33*6.2898*S$2/Oljepris!$D32,T32-T32*T$2)</f>
        <v>1985.3510223870967</v>
      </c>
      <c r="U33" s="2">
        <v>1414</v>
      </c>
      <c r="V33" s="2">
        <f>IF(U33&gt;0,U33/0.18*6.2898*U$2/Oljepris!$D32,V32-V32*V$2)</f>
        <v>709.24207276172035</v>
      </c>
      <c r="W33">
        <v>104594</v>
      </c>
      <c r="X33" s="2">
        <f>IF(W33&gt;0,W33*6.2898*W$2/Oljepris!$D32,X32-X32*X$2)</f>
        <v>3183.2677799999992</v>
      </c>
      <c r="Y33" s="2">
        <v>22950</v>
      </c>
      <c r="Z33" s="2">
        <f>IF(Y33&gt;0,Y33*6.2898*Y$2/Oljepris!$D32,Z32-Z32*Z$2)</f>
        <v>2328.2404838709676</v>
      </c>
      <c r="AA33" s="2">
        <f t="shared" si="4"/>
        <v>20382.249556004979</v>
      </c>
      <c r="AB33" s="8">
        <f>AA33</f>
        <v>20382.249556004979</v>
      </c>
      <c r="AC33" s="2">
        <f t="shared" si="3"/>
        <v>20382.249556004979</v>
      </c>
    </row>
    <row r="34" spans="1:30" x14ac:dyDescent="0.25">
      <c r="A34" s="1">
        <v>43617</v>
      </c>
      <c r="B34" s="8">
        <f t="shared" si="2"/>
        <v>20382.249556004979</v>
      </c>
      <c r="C34" s="8">
        <f t="shared" si="1"/>
        <v>20300.720557780958</v>
      </c>
      <c r="E34" s="2">
        <v>1E-3</v>
      </c>
      <c r="F34" s="2">
        <f>IF(E34&gt;0,E34*6.2898*$E$2/Oljepris!D33,F33-F33*$F$2)</f>
        <v>4.1931999999999998E-5</v>
      </c>
      <c r="G34" s="2">
        <v>4134</v>
      </c>
      <c r="H34" s="2">
        <f>IF(G34&gt;0,G34*6.2898*$G$2/Oljepris!D33,H33-H33*$H$2)</f>
        <v>250.07888797319998</v>
      </c>
      <c r="I34" s="2">
        <v>1513</v>
      </c>
      <c r="J34" s="2">
        <f>IF(I34&gt;0,I34/0.2*6.2898*I$2/Oljepris!$D33,J33-J33*J$2)</f>
        <v>219.83039693999999</v>
      </c>
      <c r="K34" s="2">
        <v>68676</v>
      </c>
      <c r="L34" s="2">
        <f>IF(K34&gt;0,K34*6.2898*K$2/Oljepris!$D33,L33-L33*L$2)</f>
        <v>2052.76665468072</v>
      </c>
      <c r="M34" s="2">
        <v>1E-3</v>
      </c>
      <c r="N34" s="2">
        <f>IF(M34&gt;0,M34*6.2898*M$2/Oljepris!$D33,N33-N33*N$2)</f>
        <v>9.434700000000001E-5</v>
      </c>
      <c r="O34" s="2">
        <v>19151</v>
      </c>
      <c r="P34" s="2">
        <f>IF(O34&gt;0,O34*6.2898*O$2/Oljepris!$D33,P33-P33*P$2)</f>
        <v>908.23793689199999</v>
      </c>
      <c r="Q34" s="2">
        <v>78401</v>
      </c>
      <c r="R34" s="2">
        <f>IF(Q34&gt;0,Q34*6.2898*Q$2/Oljepris!$D33,R33-R33*R$2)</f>
        <v>5260.0171712000001</v>
      </c>
      <c r="S34" s="2">
        <v>52862</v>
      </c>
      <c r="T34" s="2">
        <f>IF(S34&gt;0,S34*6.2898*S$2/Oljepris!$D33,T33-T33*T$2)</f>
        <v>1884.1179764000001</v>
      </c>
      <c r="U34" s="2">
        <v>1E-3</v>
      </c>
      <c r="V34" s="2">
        <f>IF(U34&gt;0,U34/0.18*6.2898*U$2/Oljepris!$D33,V33-V33*V$2)</f>
        <v>5.1830514511111111E-4</v>
      </c>
      <c r="W34">
        <v>1E-3</v>
      </c>
      <c r="X34" s="2">
        <f>IF(W34&gt;0,W34*6.2898*W$2/Oljepris!$D33,X33-X33*X$2)</f>
        <v>3.1448999999999997E-5</v>
      </c>
      <c r="Y34" s="2">
        <v>21460</v>
      </c>
      <c r="Z34" s="2">
        <f>IF(Y34&gt;0,Y34*6.2898*Y$2/Oljepris!$D33,Z33-Z33*Z$2)</f>
        <v>2249.6517999999996</v>
      </c>
      <c r="AA34" s="2">
        <f t="shared" si="4"/>
        <v>12824.701510119065</v>
      </c>
      <c r="AB34" s="8">
        <f>C34</f>
        <v>20300.720557780958</v>
      </c>
      <c r="AC34" s="2">
        <f t="shared" si="3"/>
        <v>12824.701510119065</v>
      </c>
      <c r="AD34">
        <f>SUM(AC32:AC34)/3</f>
        <v>17837.446443942008</v>
      </c>
    </row>
    <row r="35" spans="1:30" x14ac:dyDescent="0.25">
      <c r="A35" s="1">
        <v>43647</v>
      </c>
      <c r="B35" s="8">
        <f t="shared" si="2"/>
        <v>12824.701510119065</v>
      </c>
      <c r="C35" s="8">
        <f t="shared" si="1"/>
        <v>12773.402704078588</v>
      </c>
      <c r="E35">
        <v>29153</v>
      </c>
      <c r="F35" s="2">
        <f>IF(E35&gt;0,E35*6.2898*$E$2/Oljepris!D34,F34-F34*$F$2)</f>
        <v>1183.0099316129033</v>
      </c>
      <c r="G35" s="2">
        <v>1E-4</v>
      </c>
      <c r="H35" s="2">
        <f>IF(G35&gt;0,G35*6.2898*$G$2/Oljepris!D34,H34-H34*$H$2)</f>
        <v>5.8541806258064517E-6</v>
      </c>
      <c r="I35" s="2">
        <v>1E-4</v>
      </c>
      <c r="J35" s="2">
        <f>IF(I35&gt;0,I35/0.2*6.2898*I$2/Oljepris!$D34,J34-J34*J$2)</f>
        <v>1.4060746451612904E-5</v>
      </c>
      <c r="K35" s="2">
        <v>59146</v>
      </c>
      <c r="L35" s="2">
        <f>IF(K35&gt;0,K35*6.2898*K$2/Oljepris!$D34,L34-L34*L$2)</f>
        <v>1710.8799321039869</v>
      </c>
      <c r="M35" s="2">
        <v>17102</v>
      </c>
      <c r="N35" s="2">
        <f>IF(M35&gt;0,M35*6.2898*M$2/Oljepris!$D34,N34-N34*N$2)</f>
        <v>1561.4732845161291</v>
      </c>
      <c r="O35" s="2">
        <v>23623</v>
      </c>
      <c r="P35" s="2">
        <f>IF(O35&gt;0,O35*6.2898*O$2/Oljepris!$D34,P34-P34*P$2)</f>
        <v>1084.1834983703227</v>
      </c>
      <c r="Q35" s="2">
        <v>69680</v>
      </c>
      <c r="R35" s="2">
        <f>IF(Q35&gt;0,Q35*6.2898*Q$2/Oljepris!$D34,R34-R34*R$2)</f>
        <v>4524.1111122580651</v>
      </c>
      <c r="S35" s="2">
        <v>28369</v>
      </c>
      <c r="T35" s="2">
        <f>IF(S35&gt;0,S35*6.2898*S$2/Oljepris!$D34,T34-T34*T$2)</f>
        <v>978.51635980645153</v>
      </c>
      <c r="U35" s="2">
        <v>1307</v>
      </c>
      <c r="V35" s="2">
        <f>IF(U35&gt;0,U35/0.18*6.2898*U$2/Oljepris!$D34,V34-V34*V$2)</f>
        <v>655.57241096150528</v>
      </c>
      <c r="W35">
        <v>64297</v>
      </c>
      <c r="X35" s="2">
        <f>IF(W35&gt;0,W35*6.2898*W$2/Oljepris!$D34,X34-X34*X$2)</f>
        <v>1956.848083548387</v>
      </c>
      <c r="Y35" s="2">
        <v>22489</v>
      </c>
      <c r="Z35" s="2">
        <f>IF(Y35&gt;0,Y35*6.2898*Y$2/Oljepris!$D34,Z34-Z34*Z$2)</f>
        <v>2281.4727774193548</v>
      </c>
      <c r="AA35" s="2">
        <f t="shared" si="4"/>
        <v>15936.067410512034</v>
      </c>
      <c r="AB35" s="8">
        <f t="shared" ref="AB35:AB52" si="5">C35</f>
        <v>12773.402704078588</v>
      </c>
      <c r="AC35" s="2">
        <f t="shared" si="3"/>
        <v>15936.067410512034</v>
      </c>
    </row>
    <row r="36" spans="1:30" x14ac:dyDescent="0.25">
      <c r="A36" s="1">
        <v>43678</v>
      </c>
      <c r="B36" s="8">
        <f t="shared" si="2"/>
        <v>15936.067410512034</v>
      </c>
      <c r="C36" s="8">
        <f t="shared" si="1"/>
        <v>15872.323140869987</v>
      </c>
      <c r="E36">
        <v>28217</v>
      </c>
      <c r="F36" s="2">
        <f>IF(E36&gt;0,E36*6.2898*$E$2/Oljepris!D35,F35-F35*$F$2)</f>
        <v>1145.0276554838711</v>
      </c>
      <c r="G36" s="2">
        <v>0</v>
      </c>
      <c r="H36" s="2">
        <f>IF(G36&gt;0,G36*6.2898*$G$2/Oljepris!D35,H35-H35*$H$2)</f>
        <v>5.7956388195483873E-6</v>
      </c>
      <c r="I36" s="2">
        <v>140</v>
      </c>
      <c r="J36" s="2">
        <f>IF(I36&gt;0,I36/0.2*6.2898*I$2/Oljepris!$D35,J35-J35*J$2)</f>
        <v>19.685045032258063</v>
      </c>
      <c r="K36" s="2">
        <v>55839</v>
      </c>
      <c r="L36" s="2">
        <f>IF(K36&gt;0,K36*6.2898*K$2/Oljepris!$D35,L35-L35*L$2)</f>
        <v>1615.2203788718516</v>
      </c>
      <c r="M36" s="2">
        <v>18553</v>
      </c>
      <c r="N36" s="2">
        <f>IF(M36&gt;0,M36*6.2898*M$2/Oljepris!$D35,N35-N35*N$2)</f>
        <v>1693.9547332258064</v>
      </c>
      <c r="O36" s="2">
        <v>7892</v>
      </c>
      <c r="P36" s="2">
        <f>IF(O36&gt;0,O36*6.2898*O$2/Oljepris!$D35,P35-P35*P$2)</f>
        <v>362.20531554580646</v>
      </c>
      <c r="Q36" s="2">
        <v>72842</v>
      </c>
      <c r="R36" s="2">
        <f>IF(Q36&gt;0,Q36*6.2898*Q$2/Oljepris!$D35,R35-R35*R$2)</f>
        <v>4729.410184258064</v>
      </c>
      <c r="S36" s="2">
        <v>45409</v>
      </c>
      <c r="T36" s="2">
        <f>IF(S36&gt;0,S36*6.2898*S$2/Oljepris!$D35,T35-T35*T$2)</f>
        <v>1566.2677352903227</v>
      </c>
      <c r="U36" s="2">
        <v>1420</v>
      </c>
      <c r="V36" s="2">
        <f>IF(U36&gt;0,U36/0.18*6.2898*U$2/Oljepris!$D35,V35-V35*V$2)</f>
        <v>712.25158650752678</v>
      </c>
      <c r="W36">
        <v>48054</v>
      </c>
      <c r="X36" s="2">
        <f>IF(W36&gt;0,W36*6.2898*W$2/Oljepris!$D35,X35-X35*X$2)</f>
        <v>1462.5002380645162</v>
      </c>
      <c r="Y36" s="2">
        <v>21336</v>
      </c>
      <c r="Z36" s="2">
        <f>IF(Y36&gt;0,Y36*6.2898*Y$2/Oljepris!$D35,Z35-Z35*Z$2)</f>
        <v>2164.5027870967742</v>
      </c>
      <c r="AA36" s="2">
        <f t="shared" si="4"/>
        <v>15471.025665172436</v>
      </c>
      <c r="AB36" s="8">
        <f t="shared" si="5"/>
        <v>15872.323140869987</v>
      </c>
      <c r="AC36" s="2">
        <f t="shared" si="3"/>
        <v>15471.025665172436</v>
      </c>
    </row>
    <row r="37" spans="1:30" x14ac:dyDescent="0.25">
      <c r="A37" s="1">
        <v>43709</v>
      </c>
      <c r="B37" s="8">
        <f t="shared" si="2"/>
        <v>15471.025665172436</v>
      </c>
      <c r="C37" s="8">
        <f t="shared" si="1"/>
        <v>15409.141562511746</v>
      </c>
      <c r="E37">
        <v>32214</v>
      </c>
      <c r="F37" s="2">
        <f>IF(E37&gt;0,E37*6.2898*$E$2/Oljepris!D36,F36-F36*$F$2)</f>
        <v>1350.797448</v>
      </c>
      <c r="G37" s="2">
        <v>0</v>
      </c>
      <c r="H37" s="2">
        <f>IF(G37&gt;0,G37*6.2898*$G$2/Oljepris!D36,H36-H36*$H$2)</f>
        <v>5.7376824313529032E-6</v>
      </c>
      <c r="I37" s="2">
        <v>963</v>
      </c>
      <c r="J37" s="2">
        <f>IF(I37&gt;0,I37/0.2*6.2898*I$2/Oljepris!$D36,J36-J36*J$2)</f>
        <v>139.91848794000001</v>
      </c>
      <c r="K37" s="2">
        <v>51443</v>
      </c>
      <c r="L37" s="2">
        <f>IF(K37&gt;0,K37*6.2898*K$2/Oljepris!$D36,L36-L36*L$2)</f>
        <v>1537.6619927884601</v>
      </c>
      <c r="M37" s="2">
        <v>29098</v>
      </c>
      <c r="N37" s="2">
        <f>IF(M37&gt;0,M37*6.2898*M$2/Oljepris!$D36,N36-N36*N$2)</f>
        <v>2745.3090060000004</v>
      </c>
      <c r="O37" s="2">
        <v>25115</v>
      </c>
      <c r="P37" s="2">
        <f>IF(O37&gt;0,O37*6.2898*O$2/Oljepris!$D36,P36-P36*P$2)</f>
        <v>1191.0811855799998</v>
      </c>
      <c r="Q37" s="2">
        <v>60259</v>
      </c>
      <c r="R37" s="2">
        <f>IF(Q37&gt;0,Q37*6.2898*Q$2/Oljepris!$D36,R36-R36*R$2)</f>
        <v>4042.8486207999999</v>
      </c>
      <c r="S37" s="2">
        <v>31977</v>
      </c>
      <c r="T37" s="2">
        <f>IF(S37&gt;0,S37*6.2898*S$2/Oljepris!$D36,T36-T36*T$2)</f>
        <v>1139.7306294</v>
      </c>
      <c r="U37" s="2">
        <v>1192</v>
      </c>
      <c r="V37" s="2">
        <f>IF(U37&gt;0,U37/0.18*6.2898*U$2/Oljepris!$D36,V36-V36*V$2)</f>
        <v>617.8197329724444</v>
      </c>
      <c r="W37">
        <v>9883</v>
      </c>
      <c r="X37" s="2">
        <f>IF(W37&gt;0,W37*6.2898*W$2/Oljepris!$D36,X36-X36*X$2)</f>
        <v>310.81046700000002</v>
      </c>
      <c r="Y37" s="2">
        <v>878</v>
      </c>
      <c r="Z37" s="2">
        <f>IF(Y37&gt;0,Y37*6.2898*Y$2/Oljepris!$D36,Z36-Z36*Z$2)</f>
        <v>92.040739999999985</v>
      </c>
      <c r="AA37" s="2">
        <f t="shared" si="4"/>
        <v>13168.018316218586</v>
      </c>
      <c r="AB37" s="8">
        <f t="shared" si="5"/>
        <v>15409.141562511746</v>
      </c>
      <c r="AC37">
        <v>13220</v>
      </c>
      <c r="AD37">
        <f>SUM(AC35:AC37)/3</f>
        <v>14875.697691894822</v>
      </c>
    </row>
    <row r="38" spans="1:30" x14ac:dyDescent="0.25">
      <c r="A38" s="1">
        <v>43739</v>
      </c>
      <c r="B38" s="8">
        <f t="shared" si="2"/>
        <v>13220</v>
      </c>
      <c r="C38" s="8">
        <f t="shared" si="1"/>
        <v>13167.12</v>
      </c>
      <c r="E38">
        <v>28054</v>
      </c>
      <c r="F38" s="2">
        <f>IF(E38&gt;0,E38*6.2898*$E$2/Oljepris!D37,F37-F37*$F$2)</f>
        <v>1138.4132206451611</v>
      </c>
      <c r="G38" s="2">
        <v>36866</v>
      </c>
      <c r="H38" s="2">
        <f>IF(G38&gt;0,G38*6.2898*$G$2/Oljepris!D37,H37-H37*$H$2)</f>
        <v>2158.2022295098063</v>
      </c>
      <c r="I38" s="2">
        <v>458</v>
      </c>
      <c r="J38" s="2">
        <f>IF(I38&gt;0,I38/0.2*6.2898*I$2/Oljepris!$D37,J37-J37*J$2)</f>
        <v>64.398218748387094</v>
      </c>
      <c r="K38" s="2">
        <v>45530</v>
      </c>
      <c r="L38" s="2">
        <f>IF(K38&gt;0,K38*6.2898*K$2/Oljepris!$D37,L37-L37*L$2)</f>
        <v>1317.0182820257419</v>
      </c>
      <c r="M38" s="2">
        <v>19999</v>
      </c>
      <c r="N38" s="2">
        <f>IF(M38&gt;0,M38*6.2898*M$2/Oljepris!$D37,N37-N37*N$2)</f>
        <v>1825.9796641935482</v>
      </c>
      <c r="O38" s="2">
        <v>25944</v>
      </c>
      <c r="P38" s="2">
        <f>IF(O38&gt;0,O38*6.2898*O$2/Oljepris!$D37,P37-P37*P$2)</f>
        <v>1190.7063743690321</v>
      </c>
      <c r="Q38" s="2">
        <v>71896</v>
      </c>
      <c r="R38" s="2">
        <f>IF(Q38&gt;0,Q38*6.2898*Q$2/Oljepris!$D37,R37-R37*R$2)</f>
        <v>4667.9892727741935</v>
      </c>
      <c r="S38" s="2">
        <v>39745</v>
      </c>
      <c r="T38" s="2">
        <f>IF(S38&gt;0,S38*6.2898*S$2/Oljepris!$D37,T37-T37*T$2)</f>
        <v>1370.902489354839</v>
      </c>
      <c r="U38" s="2">
        <v>1339</v>
      </c>
      <c r="V38" s="2">
        <f>IF(U38&gt;0,U38/0.18*6.2898*U$2/Oljepris!$D37,V37-V37*V$2)</f>
        <v>671.6231509391398</v>
      </c>
      <c r="W38">
        <v>70954</v>
      </c>
      <c r="X38" s="2">
        <f>IF(W38&gt;0,W38*6.2898*W$2/Oljepris!$D37,X37-X37*X$2)</f>
        <v>2159.4506574193547</v>
      </c>
      <c r="Y38" s="2">
        <v>1.0000000000000001E-5</v>
      </c>
      <c r="Z38" s="2">
        <f>IF(Y38&gt;0,Y38*6.2898*Y$2/Oljepris!$D37,Z37-Z37*Z$2)</f>
        <v>1.014483870967742E-6</v>
      </c>
      <c r="AA38" s="2">
        <f t="shared" si="4"/>
        <v>16564.683560993686</v>
      </c>
      <c r="AB38" s="8">
        <f t="shared" si="5"/>
        <v>13167.12</v>
      </c>
      <c r="AC38">
        <v>16748</v>
      </c>
    </row>
    <row r="39" spans="1:30" x14ac:dyDescent="0.25">
      <c r="A39" s="1">
        <v>43770</v>
      </c>
      <c r="B39" s="8">
        <f t="shared" si="2"/>
        <v>16748</v>
      </c>
      <c r="C39" s="8">
        <f t="shared" si="1"/>
        <v>16681.008000000002</v>
      </c>
      <c r="E39">
        <v>23255</v>
      </c>
      <c r="F39" s="2">
        <f>IF(E39&gt;0,E39*6.2898*$E$2/Oljepris!D38,F38-F38*$F$2)</f>
        <v>975.12866000000008</v>
      </c>
      <c r="G39" s="2">
        <v>37020</v>
      </c>
      <c r="H39" s="2">
        <f>IF(G39&gt;0,G39*6.2898*$G$2/Oljepris!D38,H38-H38*$H$2)</f>
        <v>2239.458256596</v>
      </c>
      <c r="I39" s="2">
        <v>970</v>
      </c>
      <c r="J39" s="2">
        <f>IF(I39&gt;0,I39/0.2*6.2898*I$2/Oljepris!$D38,J38-J38*J$2)</f>
        <v>140.9355486</v>
      </c>
      <c r="K39" s="2">
        <v>50075</v>
      </c>
      <c r="L39" s="2">
        <f>IF(K39&gt;0,K39*6.2898*K$2/Oljepris!$D38,L38-L38*L$2)</f>
        <v>1496.7716557915001</v>
      </c>
      <c r="M39" s="2">
        <v>22584</v>
      </c>
      <c r="N39" s="2">
        <f>IF(M39&gt;0,M39*6.2898*M$2/Oljepris!$D38,N38-N38*N$2)</f>
        <v>2130.7326480000002</v>
      </c>
      <c r="O39" s="2">
        <v>23473</v>
      </c>
      <c r="P39" s="2">
        <f>IF(O39&gt;0,O39*6.2898*O$2/Oljepris!$D38,P38-P38*P$2)</f>
        <v>1113.2091845160001</v>
      </c>
      <c r="Q39" s="2">
        <v>59244</v>
      </c>
      <c r="R39" s="2">
        <f>IF(Q39&gt;0,Q39*6.2898*Q$2/Oljepris!$D38,R38-R38*R$2)</f>
        <v>3974.7510527999998</v>
      </c>
      <c r="S39" s="2">
        <v>41317</v>
      </c>
      <c r="T39" s="2">
        <f>IF(S39&gt;0,S39*6.2898*S$2/Oljepris!$D38,T38-T38*T$2)</f>
        <v>1472.6287774000002</v>
      </c>
      <c r="U39" s="2">
        <v>1412</v>
      </c>
      <c r="V39" s="2">
        <f>IF(U39&gt;0,U39/0.18*6.2898*U$2/Oljepris!$D38,V38-V38*V$2)</f>
        <v>731.84686489688875</v>
      </c>
      <c r="W39">
        <v>127035</v>
      </c>
      <c r="X39" s="2">
        <f>IF(W39&gt;0,W39*6.2898*W$2/Oljepris!$D38,X38-X38*X$2)</f>
        <v>3995.1237149999993</v>
      </c>
      <c r="Y39" s="2">
        <v>0</v>
      </c>
      <c r="Z39" s="2">
        <f>IF(Y39&gt;0,Y39*6.2898*Y$2/Oljepris!$D38,Z38-Z38*Z$2)</f>
        <v>1.0043390322580647E-6</v>
      </c>
      <c r="AA39" s="2">
        <f t="shared" si="4"/>
        <v>18270.586364604726</v>
      </c>
      <c r="AB39" s="8">
        <f t="shared" si="5"/>
        <v>16681.008000000002</v>
      </c>
      <c r="AC39">
        <v>18530</v>
      </c>
    </row>
    <row r="40" spans="1:30" x14ac:dyDescent="0.25">
      <c r="A40" s="1">
        <v>43800</v>
      </c>
      <c r="B40" s="8">
        <f t="shared" si="2"/>
        <v>18530</v>
      </c>
      <c r="C40" s="8">
        <f t="shared" si="1"/>
        <v>18455.88</v>
      </c>
      <c r="E40">
        <v>22912</v>
      </c>
      <c r="F40" s="2">
        <f>IF(E40&gt;0,E40*6.2898*$E$2/Oljepris!D39,F39-F39*$F$2)</f>
        <v>929.75417806451617</v>
      </c>
      <c r="G40" s="2">
        <v>38183</v>
      </c>
      <c r="H40" s="2">
        <f>IF(G40&gt;0,G40*6.2898*$G$2/Oljepris!D39,H39-H39*$H$2)</f>
        <v>2235.3017883516773</v>
      </c>
      <c r="I40" s="2">
        <v>9.9999999999999995E-8</v>
      </c>
      <c r="J40" s="2">
        <f>IF(I40&gt;0,I40/0.2*6.2898*I$2/Oljepris!$D39,J39-J39*J$2)</f>
        <v>1.4060746451612902E-8</v>
      </c>
      <c r="K40" s="2">
        <v>48528</v>
      </c>
      <c r="L40" s="2">
        <f>IF(K40&gt;0,K40*6.2898*K$2/Oljepris!$D39,L39-L39*L$2)</f>
        <v>1403.7395824762839</v>
      </c>
      <c r="M40" s="2">
        <v>36150</v>
      </c>
      <c r="N40" s="2">
        <f>IF(M40&gt;0,M40*6.2898*M$2/Oljepris!$D39,N39-N39*N$2)</f>
        <v>3300.6232741935482</v>
      </c>
      <c r="O40" s="2">
        <v>24574</v>
      </c>
      <c r="P40" s="2">
        <f>IF(O40&gt;0,O40*6.2898*O$2/Oljepris!$D39,P39-P39*P$2)</f>
        <v>1127.8298814270968</v>
      </c>
      <c r="Q40" s="2">
        <v>77856</v>
      </c>
      <c r="R40" s="2">
        <f>IF(Q40&gt;0,Q40*6.2898*Q$2/Oljepris!$D39,R39-R39*R$2)</f>
        <v>5054.9540005161289</v>
      </c>
      <c r="S40" s="2">
        <v>59095</v>
      </c>
      <c r="T40" s="2">
        <f>IF(S40&gt;0,S40*6.2898*S$2/Oljepris!$D39,T39-T39*T$2)</f>
        <v>2038.3314280645161</v>
      </c>
      <c r="U40" s="2">
        <v>1181</v>
      </c>
      <c r="V40" s="2">
        <f>IF(U40&gt;0,U40/0.18*6.2898*U$2/Oljepris!$D39,V39-V39*V$2)</f>
        <v>592.3726222995698</v>
      </c>
      <c r="W40">
        <v>154126</v>
      </c>
      <c r="X40" s="2">
        <f>IF(W40&gt;0,W40*6.2898*W$2/Oljepris!$D39,X39-X39*X$2)</f>
        <v>4690.7502329032259</v>
      </c>
      <c r="Y40" s="2">
        <v>0</v>
      </c>
      <c r="Z40" s="2">
        <f>IF(Y40&gt;0,Y40*6.2898*Y$2/Oljepris!$D39,Z39-Z39*Z$2)</f>
        <v>9.9429564193548406E-7</v>
      </c>
      <c r="AA40" s="2">
        <f t="shared" si="4"/>
        <v>21373.656989304916</v>
      </c>
      <c r="AB40" s="8">
        <f t="shared" si="5"/>
        <v>18455.88</v>
      </c>
      <c r="AC40">
        <v>21648</v>
      </c>
      <c r="AD40" s="2">
        <f>SUM(AC38:AC40)/3</f>
        <v>18975.333333333332</v>
      </c>
    </row>
    <row r="41" spans="1:30" x14ac:dyDescent="0.25">
      <c r="A41" s="1">
        <v>43831</v>
      </c>
      <c r="B41" s="8">
        <f t="shared" si="2"/>
        <v>21648</v>
      </c>
      <c r="C41" s="8">
        <f t="shared" si="1"/>
        <v>21561.407999999999</v>
      </c>
      <c r="E41">
        <v>33660</v>
      </c>
      <c r="F41" s="2">
        <f>IF(E41&gt;0,E41*6.2898*$E$2/Oljepris!D40,F40-F40*$F$2)</f>
        <v>1365.9010838709676</v>
      </c>
      <c r="G41" s="2">
        <v>37432</v>
      </c>
      <c r="H41" s="2">
        <f>IF(G41&gt;0,G41*6.2898*$G$2/Oljepris!D40,H40-H40*$H$2)</f>
        <v>2191.3368918518709</v>
      </c>
      <c r="I41" s="2">
        <v>1109</v>
      </c>
      <c r="J41" s="2">
        <f>IF(I41&gt;0,I41/0.2*6.2898*I$2/Oljepris!$D40,J40-J40*J$2)</f>
        <v>155.93367814838709</v>
      </c>
      <c r="K41" s="2">
        <v>46635</v>
      </c>
      <c r="L41" s="2">
        <f>IF(K41&gt;0,K41*6.2898*K$2/Oljepris!$D40,L40-L40*L$2)</f>
        <v>1348.981936794871</v>
      </c>
      <c r="M41" s="2">
        <v>33104</v>
      </c>
      <c r="N41" s="2">
        <f>IF(M41&gt;0,M41*6.2898*M$2/Oljepris!$D40,N40-N40*N$2)</f>
        <v>3022.5126658064519</v>
      </c>
      <c r="O41" s="2">
        <v>22462</v>
      </c>
      <c r="P41" s="2">
        <f>IF(O41&gt;0,O41*6.2898*O$2/Oljepris!$D40,P40-P40*P$2)</f>
        <v>1030.8991127458064</v>
      </c>
      <c r="Q41" s="2">
        <v>45505</v>
      </c>
      <c r="R41" s="2">
        <f>IF(Q41&gt;0,Q41*6.2898*Q$2/Oljepris!$D40,R40-R40*R$2)</f>
        <v>2954.5016670967743</v>
      </c>
      <c r="S41" s="2">
        <v>30955</v>
      </c>
      <c r="T41" s="2">
        <f>IF(S41&gt;0,S41*6.2898*S$2/Oljepris!$D40,T40-T40*T$2)</f>
        <v>1067.7138396774194</v>
      </c>
      <c r="U41" s="2">
        <v>1420</v>
      </c>
      <c r="V41" s="2">
        <f>IF(U41&gt;0,U41/0.18*6.2898*U$2/Oljepris!$D40,V40-V40*V$2)</f>
        <v>712.25158650752678</v>
      </c>
      <c r="W41">
        <v>47999</v>
      </c>
      <c r="X41" s="2">
        <f>IF(W41&gt;0,W41*6.2898*W$2/Oljepris!$D40,X40-X40*X$2)</f>
        <v>1460.8263396774194</v>
      </c>
      <c r="Y41" s="2">
        <v>0</v>
      </c>
      <c r="Z41" s="2">
        <f>IF(Y41&gt;0,Y41*6.2898*Y$2/Oljepris!$D40,Z40-Z40*Z$2)</f>
        <v>9.843526855161292E-7</v>
      </c>
      <c r="AA41" s="2">
        <f t="shared" si="4"/>
        <v>15310.858803161847</v>
      </c>
      <c r="AB41" s="8">
        <f t="shared" si="5"/>
        <v>21561.407999999999</v>
      </c>
      <c r="AC41">
        <v>15458</v>
      </c>
    </row>
    <row r="42" spans="1:30" x14ac:dyDescent="0.25">
      <c r="A42" s="1">
        <v>43862</v>
      </c>
      <c r="B42" s="8">
        <f t="shared" si="2"/>
        <v>15458</v>
      </c>
      <c r="C42" s="8">
        <f t="shared" si="1"/>
        <v>15396.168</v>
      </c>
      <c r="E42">
        <v>26915</v>
      </c>
      <c r="F42" s="2">
        <f>IF(E42&gt;0,E42*6.2898*$E$2/Oljepris!D41,F41-F41*$F$2)</f>
        <v>1167.5170137931034</v>
      </c>
      <c r="G42" s="2">
        <v>33381</v>
      </c>
      <c r="H42" s="2">
        <f>IF(G42&gt;0,G42*6.2898*$G$2/Oljepris!D41,H41-H41*$H$2)</f>
        <v>2088.9553474384138</v>
      </c>
      <c r="I42" s="2">
        <v>1020</v>
      </c>
      <c r="J42" s="2">
        <f>IF(I42&gt;0,I42/0.2*6.2898*I$2/Oljepris!$D41,J41-J41*J$2)</f>
        <v>153.31062165517241</v>
      </c>
      <c r="K42" s="2">
        <v>59904</v>
      </c>
      <c r="L42" s="2">
        <f>IF(K42&gt;0,K42*6.2898*K$2/Oljepris!$D41,L41-L41*L$2)</f>
        <v>1852.3100026209099</v>
      </c>
      <c r="M42" s="2">
        <v>30950</v>
      </c>
      <c r="N42" s="2">
        <f>IF(M42&gt;0,M42*6.2898*M$2/Oljepris!$D41,N41-N41*N$2)</f>
        <v>3020.7306724137934</v>
      </c>
      <c r="O42" s="2">
        <v>16181</v>
      </c>
      <c r="P42" s="2">
        <f>IF(O42&gt;0,O42*6.2898*O$2/Oljepris!$D41,P41-P41*P$2)</f>
        <v>793.84697963999997</v>
      </c>
      <c r="Q42" s="2">
        <v>55503</v>
      </c>
      <c r="R42" s="2">
        <f>IF(Q42&gt;0,Q42*6.2898*Q$2/Oljepris!$D41,R41-R41*R$2)</f>
        <v>3852.1684899310344</v>
      </c>
      <c r="S42" s="2">
        <v>52421</v>
      </c>
      <c r="T42" s="2">
        <f>IF(S42&gt;0,S42*6.2898*S$2/Oljepris!$D41,T41-T41*T$2)</f>
        <v>1932.8273443448275</v>
      </c>
      <c r="U42" s="2">
        <v>1109</v>
      </c>
      <c r="V42" s="2">
        <f>IF(U42&gt;0,U42/0.18*6.2898*U$2/Oljepris!$D41,V41-V41*V$2)</f>
        <v>594.62110958091944</v>
      </c>
      <c r="W42">
        <v>135036</v>
      </c>
      <c r="X42" s="2">
        <f>IF(W42&gt;0,W42*6.2898*W$2/Oljepris!$D41,X41-X41*X$2)</f>
        <v>4393.1867213793093</v>
      </c>
      <c r="Y42" s="2">
        <v>0</v>
      </c>
      <c r="Z42" s="2">
        <f>IF(Y42&gt;0,Y42*6.2898*Y$2/Oljepris!$D41,Z41-Z41*Z$2)</f>
        <v>9.7450915866096789E-7</v>
      </c>
      <c r="AA42" s="2">
        <f t="shared" si="4"/>
        <v>19849.474303771993</v>
      </c>
      <c r="AB42" s="8">
        <f t="shared" si="5"/>
        <v>15396.168</v>
      </c>
      <c r="AC42">
        <v>19990</v>
      </c>
    </row>
    <row r="43" spans="1:30" x14ac:dyDescent="0.25">
      <c r="A43" s="1">
        <v>43891</v>
      </c>
      <c r="B43" s="8">
        <f t="shared" si="2"/>
        <v>19990</v>
      </c>
      <c r="C43" s="8">
        <f t="shared" si="1"/>
        <v>19910.04</v>
      </c>
      <c r="E43">
        <v>28229</v>
      </c>
      <c r="F43" s="2">
        <f>IF(E43&gt;0,E43*6.2898*$E$2/Oljepris!D42,F42-F42*$F$2)</f>
        <v>1145.5146077419354</v>
      </c>
      <c r="G43" s="2">
        <v>26629</v>
      </c>
      <c r="H43" s="2">
        <f>IF(G43&gt;0,G43*6.2898*$G$2/Oljepris!D42,H42-H42*$H$2)</f>
        <v>1558.9097588459999</v>
      </c>
      <c r="I43" s="2">
        <v>878</v>
      </c>
      <c r="J43" s="2">
        <f>IF(I43&gt;0,I43/0.2*6.2898*I$2/Oljepris!$D42,J42-J42*J$2)</f>
        <v>123.45335384516129</v>
      </c>
      <c r="K43" s="2">
        <v>63866</v>
      </c>
      <c r="L43" s="2">
        <f>IF(K43&gt;0,K43*6.2898*K$2/Oljepris!$D42,L42-L42*L$2)</f>
        <v>1847.4124665024385</v>
      </c>
      <c r="M43" s="2">
        <v>29480</v>
      </c>
      <c r="N43" s="2">
        <f>IF(M43&gt;0,M43*6.2898*M$2/Oljepris!$D42,N42-N42*N$2)</f>
        <v>2691.6286064516125</v>
      </c>
      <c r="O43" s="2">
        <v>18909</v>
      </c>
      <c r="P43" s="2">
        <f>IF(O43&gt;0,O43*6.2898*O$2/Oljepris!$D42,P42-P42*P$2)</f>
        <v>867.83328834967733</v>
      </c>
      <c r="Q43" s="2">
        <v>57352</v>
      </c>
      <c r="R43" s="2">
        <f>IF(Q43&gt;0,Q43*6.2898*Q$2/Oljepris!$D42,R42-R42*R$2)</f>
        <v>3723.6914539354834</v>
      </c>
      <c r="S43" s="2">
        <v>79676</v>
      </c>
      <c r="T43" s="2">
        <f>IF(S43&gt;0,S43*6.2898*S$2/Oljepris!$D42,T42-T42*T$2)</f>
        <v>2748.2205747096773</v>
      </c>
      <c r="U43" s="2">
        <v>1479</v>
      </c>
      <c r="V43" s="2">
        <f>IF(U43&gt;0,U43/0.18*6.2898*U$2/Oljepris!$D42,V42-V42*V$2)</f>
        <v>741.84513834129029</v>
      </c>
      <c r="W43">
        <v>160112</v>
      </c>
      <c r="X43" s="2">
        <f>IF(W43&gt;0,W43*6.2898*W$2/Oljepris!$D42,X42-X42*X$2)</f>
        <v>4872.9312464516133</v>
      </c>
      <c r="Y43" s="2">
        <v>0</v>
      </c>
      <c r="Z43" s="2">
        <f>IF(Y43&gt;0,Y43*6.2898*Y$2/Oljepris!$D42,Z42-Z42*Z$2)</f>
        <v>9.6476406707435811E-7</v>
      </c>
      <c r="AA43" s="2">
        <f t="shared" si="4"/>
        <v>20321.44049613965</v>
      </c>
      <c r="AB43" s="8">
        <f t="shared" si="5"/>
        <v>19910.04</v>
      </c>
      <c r="AC43">
        <v>20460</v>
      </c>
      <c r="AD43" s="2">
        <f>SUM(AC41:AC43)/3</f>
        <v>18636</v>
      </c>
    </row>
    <row r="44" spans="1:30" x14ac:dyDescent="0.25">
      <c r="A44" s="1">
        <v>43922</v>
      </c>
      <c r="B44" s="8">
        <f>IF(AC43=0,AA43,AC43)</f>
        <v>20460</v>
      </c>
      <c r="C44" s="8">
        <f t="shared" si="1"/>
        <v>20378.16</v>
      </c>
      <c r="E44">
        <v>24365</v>
      </c>
      <c r="F44" s="2">
        <f>IF(E44&gt;0,E44*6.2898*$E$2/Oljepris!D43,F43-F43*$F$2)</f>
        <v>1021.6731799999999</v>
      </c>
      <c r="G44" s="2">
        <v>25057</v>
      </c>
      <c r="H44" s="2">
        <f>IF(G44&gt;0,G44*6.2898*$G$2/Oljepris!D43,H43-H43*$H$2)</f>
        <v>1515.7781073885999</v>
      </c>
      <c r="I44" s="2">
        <v>28</v>
      </c>
      <c r="J44" s="2">
        <f>IF(I44&gt;0,I44/0.2*6.2898*I$2/Oljepris!$D43,J43-J43*J$2)</f>
        <v>4.0682426399999994</v>
      </c>
      <c r="K44" s="2">
        <v>59800</v>
      </c>
      <c r="L44" s="2">
        <f>IF(K44&gt;0,K44*6.2898*K$2/Oljepris!$D43,L43-L43*L$2)</f>
        <v>1787.457713756</v>
      </c>
      <c r="M44" s="2">
        <v>35123</v>
      </c>
      <c r="N44" s="2">
        <f>IF(M44&gt;0,M44*6.2898*M$2/Oljepris!$D43,N43-N43*N$2)</f>
        <v>3313.7496809999998</v>
      </c>
      <c r="O44" s="2">
        <v>18580</v>
      </c>
      <c r="P44" s="2">
        <f>IF(O44&gt;0,O44*6.2898*O$2/Oljepris!$D43,P43-P43*P$2)</f>
        <v>881.15820936000011</v>
      </c>
      <c r="Q44" s="2">
        <v>45315</v>
      </c>
      <c r="R44" s="2">
        <f>IF(Q44&gt;0,Q44*6.2898*Q$2/Oljepris!$D43,R43-R43*R$2)</f>
        <v>3040.2377280000001</v>
      </c>
      <c r="S44" s="2">
        <v>75060</v>
      </c>
      <c r="T44" s="2">
        <f>IF(S44&gt;0,S44*6.2898*S$2/Oljepris!$D43,T43-T43*T$2)</f>
        <v>2675.3035319999999</v>
      </c>
      <c r="U44" s="2">
        <v>1259</v>
      </c>
      <c r="V44" s="2">
        <f>IF(U44&gt;0,U44/0.18*6.2898*U$2/Oljepris!$D43,V43-V43*V$2)</f>
        <v>652.5461776948888</v>
      </c>
      <c r="W44">
        <v>99312</v>
      </c>
      <c r="X44" s="2">
        <f>IF(W44&gt;0,W44*6.2898*W$2/Oljepris!$D43,X43-X43*X$2)</f>
        <v>3123.2630879999997</v>
      </c>
      <c r="Y44" s="2">
        <v>0</v>
      </c>
      <c r="Z44" s="2">
        <f>IF(Y44&gt;0,Y44*6.2898*Y$2/Oljepris!$D43,Z43-Z43*Z$2)</f>
        <v>9.5511642640361443E-7</v>
      </c>
      <c r="AA44" s="2">
        <f t="shared" si="4"/>
        <v>18015.235660794609</v>
      </c>
      <c r="AB44" s="8">
        <f t="shared" si="5"/>
        <v>20378.16</v>
      </c>
      <c r="AC44" s="8">
        <v>19300</v>
      </c>
    </row>
    <row r="45" spans="1:30" x14ac:dyDescent="0.25">
      <c r="A45" s="1">
        <v>43952</v>
      </c>
      <c r="B45" s="8">
        <f t="shared" ref="B45:B76" si="6">IF(AC44=0,AA44,AC44)</f>
        <v>19300</v>
      </c>
      <c r="C45" s="8">
        <f t="shared" si="1"/>
        <v>19222.8</v>
      </c>
      <c r="E45">
        <v>22723</v>
      </c>
      <c r="F45" s="2">
        <f>IF(E45&gt;0,E45*6.2898*$E$2/Oljepris!D44,F44-F44*$F$2)</f>
        <v>922.08467999999993</v>
      </c>
      <c r="G45" s="2">
        <v>24515</v>
      </c>
      <c r="H45" s="2">
        <f>IF(G45&gt;0,G45*6.2898*$G$2/Oljepris!D44,H44-H44*$H$2)</f>
        <v>1435.1523804164515</v>
      </c>
      <c r="I45" s="2">
        <v>896</v>
      </c>
      <c r="J45" s="2">
        <f>IF(I45&gt;0,I45/0.2*6.2898*I$2/Oljepris!$D44,J44-J44*J$2)</f>
        <v>125.98428820645161</v>
      </c>
      <c r="K45" s="2">
        <v>43400</v>
      </c>
      <c r="L45" s="2">
        <f>IF(K45&gt;0,K45*6.2898*K$2/Oljepris!$D44,L44-L44*L$2)</f>
        <v>1255.4050832400001</v>
      </c>
      <c r="M45" s="2">
        <v>29551</v>
      </c>
      <c r="N45" s="2">
        <f>IF(M45&gt;0,M45*6.2898*M$2/Oljepris!$D44,N44-N44*N$2)</f>
        <v>2698.1111583870966</v>
      </c>
      <c r="O45" s="2">
        <v>21652</v>
      </c>
      <c r="P45" s="2">
        <f>IF(O45&gt;0,O45*6.2898*O$2/Oljepris!$D44,P44-P44*P$2)</f>
        <v>993.723959984516</v>
      </c>
      <c r="Q45" s="2">
        <v>45339</v>
      </c>
      <c r="R45" s="2">
        <f>IF(Q45&gt;0,Q45*6.2898*Q$2/Oljepris!$D44,R44-R44*R$2)</f>
        <v>2943.7237904516128</v>
      </c>
      <c r="S45" s="2">
        <v>71953</v>
      </c>
      <c r="T45" s="2">
        <f>IF(S45&gt;0,S45*6.2898*S$2/Oljepris!$D44,T44-T44*T$2)</f>
        <v>2481.8353709032258</v>
      </c>
      <c r="U45" s="2">
        <v>1317</v>
      </c>
      <c r="V45" s="2">
        <f>IF(U45&gt;0,U45/0.18*6.2898*U$2/Oljepris!$D44,V44-V44*V$2)</f>
        <v>660.58826720451611</v>
      </c>
      <c r="W45">
        <v>88654</v>
      </c>
      <c r="X45" s="2">
        <f>IF(W45&gt;0,W45*6.2898*W$2/Oljepris!$D44,X44-X44*X$2)</f>
        <v>2698.1415929032255</v>
      </c>
      <c r="Y45" s="2">
        <v>0</v>
      </c>
      <c r="Z45" s="2">
        <f>IF(Y45&gt;0,Y45*6.2898*Y$2/Oljepris!$D44,Z44-Z44*Z$2)</f>
        <v>9.4556526213957831E-7</v>
      </c>
      <c r="AA45" s="2">
        <f t="shared" si="4"/>
        <v>16214.750572642663</v>
      </c>
      <c r="AB45" s="8">
        <f t="shared" si="5"/>
        <v>19222.8</v>
      </c>
      <c r="AC45" s="8">
        <v>17600</v>
      </c>
    </row>
    <row r="46" spans="1:30" x14ac:dyDescent="0.25">
      <c r="A46" s="1">
        <v>43983</v>
      </c>
      <c r="B46" s="8">
        <f t="shared" si="6"/>
        <v>17600</v>
      </c>
      <c r="C46" s="8">
        <f t="shared" si="1"/>
        <v>17529.599999999999</v>
      </c>
      <c r="E46">
        <v>25688</v>
      </c>
      <c r="F46" s="2">
        <f>IF(E46&gt;0,E46*6.2898*$E$2/Oljepris!D45,F45-F45*$F$2)</f>
        <v>1077.149216</v>
      </c>
      <c r="G46" s="2">
        <v>24076</v>
      </c>
      <c r="H46" s="2">
        <f>IF(G46&gt;0,G46*6.2898*$G$2/Oljepris!D45,H45-H45*$H$2)</f>
        <v>1456.4342783848001</v>
      </c>
      <c r="I46" s="2">
        <v>1249</v>
      </c>
      <c r="J46" s="2">
        <f>IF(I46&gt;0,I46/0.2*6.2898*I$2/Oljepris!$D45,J45-J45*J$2)</f>
        <v>181.47268062000001</v>
      </c>
      <c r="K46" s="2">
        <v>54376</v>
      </c>
      <c r="L46" s="2">
        <f>IF(K46&gt;0,K46*6.2898*K$2/Oljepris!$D45,L45-L45*L$2)</f>
        <v>1625.3311144347199</v>
      </c>
      <c r="M46" s="2">
        <v>11119</v>
      </c>
      <c r="N46" s="2">
        <f>IF(M46&gt;0,M46*6.2898*M$2/Oljepris!$D45,N45-N45*N$2)</f>
        <v>1049.0442930000002</v>
      </c>
      <c r="O46" s="2">
        <v>17270</v>
      </c>
      <c r="P46" s="2">
        <f>IF(O46&gt;0,O46*6.2898*O$2/Oljepris!$D45,P45-P45*P$2)</f>
        <v>819.03133883999988</v>
      </c>
      <c r="Q46" s="2">
        <v>47079</v>
      </c>
      <c r="R46" s="2">
        <f>IF(Q46&gt;0,Q46*6.2898*Q$2/Oljepris!$D45,R45-R45*R$2)</f>
        <v>3158.5866047999998</v>
      </c>
      <c r="S46" s="2">
        <v>41330</v>
      </c>
      <c r="T46" s="2">
        <f>IF(S46&gt;0,S46*6.2898*S$2/Oljepris!$D45,T45-T45*T$2)</f>
        <v>1473.092126</v>
      </c>
      <c r="U46" s="2">
        <v>1263</v>
      </c>
      <c r="V46" s="2">
        <f>IF(U46&gt;0,U46/0.18*6.2898*U$2/Oljepris!$D45,V45-V45*V$2)</f>
        <v>654.61939827533331</v>
      </c>
      <c r="W46">
        <v>118655</v>
      </c>
      <c r="X46" s="2">
        <f>IF(W46&gt;0,W46*6.2898*W$2/Oljepris!$D45,X45-X45*X$2)</f>
        <v>3731.5810949999996</v>
      </c>
      <c r="Y46" s="2">
        <v>0</v>
      </c>
      <c r="Z46" s="2">
        <f>IF(Y46&gt;0,Y46*6.2898*Y$2/Oljepris!$D45,Z45-Z45*Z$2)</f>
        <v>9.3610960951818251E-7</v>
      </c>
      <c r="AA46" s="2">
        <f t="shared" si="4"/>
        <v>15226.342146290961</v>
      </c>
      <c r="AB46" s="8">
        <f t="shared" si="5"/>
        <v>17529.599999999999</v>
      </c>
      <c r="AC46" s="8">
        <v>16500</v>
      </c>
      <c r="AD46" s="2">
        <f>SUM(AC44:AC46)/3</f>
        <v>17800</v>
      </c>
    </row>
    <row r="47" spans="1:30" x14ac:dyDescent="0.25">
      <c r="A47" s="1">
        <v>44013</v>
      </c>
      <c r="B47" s="8">
        <f t="shared" si="6"/>
        <v>16500</v>
      </c>
      <c r="C47" s="8">
        <f t="shared" si="1"/>
        <v>16434</v>
      </c>
      <c r="E47">
        <v>26594</v>
      </c>
      <c r="F47" s="2">
        <f>IF(E47&gt;0,E47*6.2898*$E$2/Oljepris!D46,F46-F46*$F$2)</f>
        <v>1079.1673625806452</v>
      </c>
      <c r="G47" s="2">
        <v>23980</v>
      </c>
      <c r="H47" s="2">
        <f>IF(G47&gt;0,G47*6.2898*$G$2/Oljepris!D46,H46-H46*$H$2)</f>
        <v>1403.8325140683869</v>
      </c>
      <c r="I47" s="2">
        <v>1077</v>
      </c>
      <c r="J47" s="2">
        <f>IF(I47&gt;0,I47/0.2*6.2898*I$2/Oljepris!$D46,J46-J46*J$2)</f>
        <v>151.43423928387094</v>
      </c>
      <c r="K47" s="2">
        <v>56883</v>
      </c>
      <c r="L47" s="2">
        <f>IF(K47&gt;0,K47*6.2898*K$2/Oljepris!$D46,L46-L46*L$2)</f>
        <v>1645.4195241921871</v>
      </c>
      <c r="M47" s="2">
        <v>17456</v>
      </c>
      <c r="N47" s="2">
        <f>IF(M47&gt;0,M47*6.2898*M$2/Oljepris!$D46,N46-N46*N$2)</f>
        <v>1593.7947406451613</v>
      </c>
      <c r="O47" s="2">
        <v>13420</v>
      </c>
      <c r="P47" s="2">
        <f>IF(O47&gt;0,O47*6.2898*O$2/Oljepris!$D46,P46-P46*P$2)</f>
        <v>615.91425932903223</v>
      </c>
      <c r="Q47" s="2">
        <v>61520</v>
      </c>
      <c r="R47" s="2">
        <f>IF(Q47&gt;0,Q47*6.2898*Q$2/Oljepris!$D46,R46-R46*R$2)</f>
        <v>3994.307055483871</v>
      </c>
      <c r="S47" s="2">
        <v>69769</v>
      </c>
      <c r="T47" s="2">
        <f>IF(S47&gt;0,S47*6.2898*S$2/Oljepris!$D46,T46-T46*T$2)</f>
        <v>2406.5038565806453</v>
      </c>
      <c r="U47" s="2">
        <v>1347</v>
      </c>
      <c r="V47" s="2">
        <f>IF(U47&gt;0,U47/0.18*6.2898*U$2/Oljepris!$D46,V46-V46*V$2)</f>
        <v>675.63583593354838</v>
      </c>
      <c r="W47">
        <v>153800</v>
      </c>
      <c r="X47" s="2">
        <f>IF(W47&gt;0,W47*6.2898*W$2/Oljepris!$D46,X46-X46*X$2)</f>
        <v>4680.8285806451613</v>
      </c>
      <c r="Y47" s="2">
        <v>0</v>
      </c>
      <c r="Z47" s="2">
        <f>IF(Y47&gt;0,Y47*6.2898*Y$2/Oljepris!$D46,Z46-Z46*Z$2)</f>
        <v>9.267485134230007E-7</v>
      </c>
      <c r="AA47" s="2">
        <f t="shared" si="4"/>
        <v>18246.837969669257</v>
      </c>
      <c r="AB47" s="8">
        <f t="shared" si="5"/>
        <v>16434</v>
      </c>
      <c r="AC47" s="8">
        <v>19300</v>
      </c>
    </row>
    <row r="48" spans="1:30" x14ac:dyDescent="0.25">
      <c r="A48" s="1">
        <v>44044</v>
      </c>
      <c r="B48" s="8">
        <f t="shared" si="6"/>
        <v>19300</v>
      </c>
      <c r="C48" s="8">
        <f t="shared" si="1"/>
        <v>19222.8</v>
      </c>
      <c r="E48">
        <v>20278</v>
      </c>
      <c r="F48" s="2">
        <f>IF(E48&gt;0,E48*6.2898*$E$2/Oljepris!D47,F47-F47*$F$2)</f>
        <v>822.86815741935482</v>
      </c>
      <c r="G48" s="2">
        <v>20633</v>
      </c>
      <c r="H48" s="2">
        <f>IF(G48&gt;0,G48*6.2898*$G$2/Oljepris!D47,H47-H47*$H$2)</f>
        <v>1207.893088522645</v>
      </c>
      <c r="I48" s="2">
        <v>219</v>
      </c>
      <c r="J48" s="2">
        <f>IF(I48&gt;0,I48/0.2*6.2898*I$2/Oljepris!$D47,J47-J47*J$2)</f>
        <v>30.793034729032254</v>
      </c>
      <c r="K48" s="2">
        <v>58565</v>
      </c>
      <c r="L48" s="2">
        <f>IF(K48&gt;0,K48*6.2898*K$2/Oljepris!$D47,L47-L47*L$2)</f>
        <v>1694.0737027638386</v>
      </c>
      <c r="M48" s="2">
        <v>26053</v>
      </c>
      <c r="N48" s="2">
        <f>IF(M48&gt;0,M48*6.2898*M$2/Oljepris!$D47,N47-N47*N$2)</f>
        <v>2378.7313461290323</v>
      </c>
      <c r="O48" s="2">
        <v>13944</v>
      </c>
      <c r="P48" s="2">
        <f>IF(O48&gt;0,O48*6.2898*O$2/Oljepris!$D47,P47-P47*P$2)</f>
        <v>639.96337049806459</v>
      </c>
      <c r="Q48" s="2">
        <v>56036</v>
      </c>
      <c r="R48" s="2">
        <f>IF(Q48&gt;0,Q48*6.2898*Q$2/Oljepris!$D47,R47-R47*R$2)</f>
        <v>3638.2475643870971</v>
      </c>
      <c r="S48" s="2">
        <v>77767</v>
      </c>
      <c r="T48" s="2">
        <f>IF(S48&gt;0,S48*6.2898*S$2/Oljepris!$D47,T47-T47*T$2)</f>
        <v>2682.3744845806455</v>
      </c>
      <c r="U48" s="2">
        <v>1378</v>
      </c>
      <c r="V48" s="2">
        <f>IF(U48&gt;0,U48/0.18*6.2898*U$2/Oljepris!$D47,V47-V47*V$2)</f>
        <v>691.18499028688166</v>
      </c>
      <c r="W48">
        <v>104101</v>
      </c>
      <c r="X48" s="2">
        <f>IF(W48&gt;0,W48*6.2898*W$2/Oljepris!$D47,X47-X47*X$2)</f>
        <v>3168.2635635483871</v>
      </c>
      <c r="Y48" s="2">
        <v>0</v>
      </c>
      <c r="Z48" s="2">
        <f>IF(Y48&gt;0,Y48*6.2898*Y$2/Oljepris!$D47,Z47-Z47*Z$2)</f>
        <v>9.1748102828877069E-7</v>
      </c>
      <c r="AA48" s="2">
        <f t="shared" si="4"/>
        <v>16954.393303782461</v>
      </c>
      <c r="AB48" s="8">
        <f t="shared" si="5"/>
        <v>19222.8</v>
      </c>
      <c r="AC48" s="8">
        <v>18000</v>
      </c>
    </row>
    <row r="49" spans="1:30" x14ac:dyDescent="0.25">
      <c r="A49" s="1">
        <v>44075</v>
      </c>
      <c r="B49" s="8">
        <f t="shared" si="6"/>
        <v>18000</v>
      </c>
      <c r="C49" s="8">
        <f t="shared" si="1"/>
        <v>17928</v>
      </c>
      <c r="E49">
        <v>24313</v>
      </c>
      <c r="F49" s="2">
        <f>IF(E49&gt;0,E49*6.2898*$E$2/Oljepris!D48,F48-F48*$F$2)</f>
        <v>1019.4927160000001</v>
      </c>
      <c r="G49" s="2">
        <v>20605</v>
      </c>
      <c r="H49" s="2">
        <f>IF(G49&gt;0,G49*6.2898*$G$2/Oljepris!D48,H48-H48*$H$2)</f>
        <v>1246.4623818789998</v>
      </c>
      <c r="I49" s="2">
        <v>1E-3</v>
      </c>
      <c r="J49" s="2">
        <f>IF(I49&gt;0,I49/0.2*6.2898*I$2/Oljepris!$D48,J48-J48*J$2)</f>
        <v>1.4529437999999999E-4</v>
      </c>
      <c r="K49" s="2">
        <v>50607</v>
      </c>
      <c r="L49" s="2">
        <f>IF(K49&gt;0,K49*6.2898*K$2/Oljepris!$D48,L48-L48*L$2)</f>
        <v>1512.6734535125399</v>
      </c>
      <c r="M49" s="2">
        <v>20634</v>
      </c>
      <c r="N49" s="2">
        <f>IF(M49&gt;0,M49*6.2898*M$2/Oljepris!$D48,N48-N48*N$2)</f>
        <v>1946.7559979999999</v>
      </c>
      <c r="O49" s="2">
        <v>4842</v>
      </c>
      <c r="P49" s="2">
        <f>IF(O49&gt;0,O49*6.2898*O$2/Oljepris!$D48,P48-P48*P$2)</f>
        <v>229.63229546400001</v>
      </c>
      <c r="Q49" s="2">
        <v>36016</v>
      </c>
      <c r="R49" s="2">
        <f>IF(Q49&gt;0,Q49*6.2898*Q$2/Oljepris!$D48,R48-R48*R$2)</f>
        <v>2416.3566591999997</v>
      </c>
      <c r="S49" s="2">
        <v>61279</v>
      </c>
      <c r="T49" s="2">
        <f>IF(S49&gt;0,S49*6.2898*S$2/Oljepris!$D48,T48-T48*T$2)</f>
        <v>2184.1183738000004</v>
      </c>
      <c r="U49" s="2">
        <v>1319</v>
      </c>
      <c r="V49" s="2">
        <f>IF(U49&gt;0,U49/0.18*6.2898*U$2/Oljepris!$D48,V48-V48*V$2)</f>
        <v>683.64448640155558</v>
      </c>
      <c r="W49">
        <v>110506</v>
      </c>
      <c r="X49" s="2">
        <f>IF(W49&gt;0,W49*6.2898*W$2/Oljepris!$D48,X48-X48*X$2)</f>
        <v>3475.3031939999996</v>
      </c>
      <c r="Y49" s="2">
        <v>0</v>
      </c>
      <c r="Z49" s="2">
        <f>IF(Y49&gt;0,Y49*6.2898*Y$2/Oljepris!$D48,Z48-Z48*Z$2)</f>
        <v>9.0830621800588302E-7</v>
      </c>
      <c r="AA49" s="2">
        <f t="shared" si="4"/>
        <v>14714.439704459783</v>
      </c>
      <c r="AB49" s="8">
        <f t="shared" si="5"/>
        <v>17928</v>
      </c>
      <c r="AC49" s="8">
        <v>15800</v>
      </c>
      <c r="AD49" s="2">
        <f>SUM(AC47:AC49)/3</f>
        <v>17700</v>
      </c>
    </row>
    <row r="50" spans="1:30" x14ac:dyDescent="0.25">
      <c r="A50" s="1">
        <v>44105</v>
      </c>
      <c r="B50" s="8">
        <f t="shared" si="6"/>
        <v>15800</v>
      </c>
      <c r="C50" s="8">
        <f t="shared" si="1"/>
        <v>15736.8</v>
      </c>
      <c r="E50">
        <v>41993</v>
      </c>
      <c r="F50" s="2">
        <f>IF(E50&gt;0,E50*6.2898*$E$2/Oljepris!D49,F49-F49*$F$2)</f>
        <v>1704.0488477419353</v>
      </c>
      <c r="G50" s="2">
        <v>22769</v>
      </c>
      <c r="H50" s="2">
        <f>IF(G50&gt;0,G50*6.2898*$G$2/Oljepris!D49,H49-H49*$H$2)</f>
        <v>1332.9383866898709</v>
      </c>
      <c r="I50" s="2">
        <v>121</v>
      </c>
      <c r="J50" s="2">
        <f>IF(I50&gt;0,I50/0.2*6.2898*I$2/Oljepris!$D49,J49-J49*J$2)</f>
        <v>17.01350320645161</v>
      </c>
      <c r="K50" s="2">
        <v>50777</v>
      </c>
      <c r="L50" s="2">
        <f>IF(K50&gt;0,K50*6.2898*K$2/Oljepris!$D49,L49-L49*L$2)</f>
        <v>1468.7950210063934</v>
      </c>
      <c r="M50" s="2">
        <v>8738</v>
      </c>
      <c r="N50" s="2">
        <f>IF(M50&gt;0,M50*6.2898*M$2/Oljepris!$D49,N49-N49*N$2)</f>
        <v>797.81040580645163</v>
      </c>
      <c r="O50" s="2">
        <v>13674</v>
      </c>
      <c r="P50" s="2">
        <f>IF(O50&gt;0,O50*6.2898*O$2/Oljepris!$D49,P49-P49*P$2)</f>
        <v>627.57165291096771</v>
      </c>
      <c r="Q50" s="2">
        <v>46051</v>
      </c>
      <c r="R50" s="2">
        <f>IF(Q50&gt;0,Q50*6.2898*Q$2/Oljepris!$D49,R49-R49*R$2)</f>
        <v>2989.9517914838707</v>
      </c>
      <c r="S50" s="2">
        <v>68743</v>
      </c>
      <c r="T50" s="2">
        <f>IF(S50&gt;0,S50*6.2898*S$2/Oljepris!$D49,T49-T49*T$2)</f>
        <v>2371.1146012258068</v>
      </c>
      <c r="U50" s="2">
        <v>1049</v>
      </c>
      <c r="V50" s="2">
        <f>IF(U50&gt;0,U50/0.18*6.2898*U$2/Oljepris!$D49,V49-V49*V$2)</f>
        <v>526.163319891828</v>
      </c>
      <c r="W50">
        <v>103445</v>
      </c>
      <c r="X50" s="2">
        <f>IF(W50&gt;0,W50*6.2898*W$2/Oljepris!$D49,X49-X49*X$2)</f>
        <v>3148.2985209677413</v>
      </c>
      <c r="Y50" s="2">
        <v>0</v>
      </c>
      <c r="Z50" s="2">
        <f>IF(Y50&gt;0,Y50*6.2898*Y$2/Oljepris!$D49,Z49-Z49*Z$2)</f>
        <v>8.9922315582582423E-7</v>
      </c>
      <c r="AA50" s="2">
        <f t="shared" si="4"/>
        <v>14983.706051830541</v>
      </c>
      <c r="AB50" s="8">
        <f t="shared" si="5"/>
        <v>15736.8</v>
      </c>
      <c r="AC50" s="8">
        <v>15480</v>
      </c>
    </row>
    <row r="51" spans="1:30" x14ac:dyDescent="0.25">
      <c r="A51" s="1">
        <v>44136</v>
      </c>
      <c r="B51" s="8">
        <f t="shared" si="6"/>
        <v>15480</v>
      </c>
      <c r="C51" s="8">
        <f t="shared" si="1"/>
        <v>15418.08</v>
      </c>
      <c r="E51">
        <v>38223</v>
      </c>
      <c r="F51" s="2">
        <f>IF(E51&gt;0,E51*6.2898*$E$2/Oljepris!D50,F50-F50*$F$2)</f>
        <v>1602.766836</v>
      </c>
      <c r="G51" s="2">
        <v>20257</v>
      </c>
      <c r="H51" s="2">
        <f>IF(G51&gt;0,G51*6.2898*$G$2/Oljepris!D50,H50-H50*$H$2)</f>
        <v>1225.4107483486</v>
      </c>
      <c r="I51" s="2">
        <v>1114</v>
      </c>
      <c r="J51" s="2">
        <f>IF(I51&gt;0,I51/0.2*6.2898*I$2/Oljepris!$D50,J50-J50*J$2)</f>
        <v>161.85793931999996</v>
      </c>
      <c r="K51" s="2">
        <v>54279</v>
      </c>
      <c r="L51" s="2">
        <f>IF(K51&gt;0,K51*6.2898*K$2/Oljepris!$D50,L50-L50*L$2)</f>
        <v>1622.4317265043796</v>
      </c>
      <c r="M51" s="2">
        <v>4753</v>
      </c>
      <c r="N51" s="2">
        <f>IF(M51&gt;0,M51*6.2898*M$2/Oljepris!$D50,N50-N50*N$2)</f>
        <v>448.43129099999999</v>
      </c>
      <c r="O51" s="2">
        <v>13177</v>
      </c>
      <c r="P51" s="2">
        <f>IF(O51&gt;0,O51*6.2898*O$2/Oljepris!$D50,P50-P50*P$2)</f>
        <v>624.92043728399995</v>
      </c>
      <c r="Q51" s="2">
        <v>31846</v>
      </c>
      <c r="R51" s="2">
        <f>IF(Q51&gt;0,Q51*6.2898*Q$2/Oljepris!$D50,R50-R50*R$2)</f>
        <v>2136.5863551999996</v>
      </c>
      <c r="S51" s="2">
        <v>38457</v>
      </c>
      <c r="T51" s="2">
        <f>IF(S51&gt;0,S51*6.2898*S$2/Oljepris!$D50,T50-T50*T$2)</f>
        <v>1370.6920854000002</v>
      </c>
      <c r="U51" s="2">
        <v>1184</v>
      </c>
      <c r="V51" s="2">
        <f>IF(U51&gt;0,U51/0.18*6.2898*U$2/Oljepris!$D50,V50-V50*V$2)</f>
        <v>613.6732918115556</v>
      </c>
      <c r="W51">
        <v>97657</v>
      </c>
      <c r="X51" s="2">
        <f>IF(W51&gt;0,W51*6.2898*W$2/Oljepris!$D50,X50-X50*X$2)</f>
        <v>3071.2149929999996</v>
      </c>
      <c r="Y51" s="2">
        <v>0</v>
      </c>
      <c r="Z51" s="2">
        <f>IF(Y51&gt;0,Y51*6.2898*Y$2/Oljepris!$D50,Z50-Z50*Z$2)</f>
        <v>8.9023092426756597E-7</v>
      </c>
      <c r="AA51" s="2">
        <f t="shared" si="4"/>
        <v>12877.985704758767</v>
      </c>
      <c r="AB51" s="8">
        <f t="shared" si="5"/>
        <v>15418.08</v>
      </c>
      <c r="AC51" s="8">
        <v>13310</v>
      </c>
    </row>
    <row r="52" spans="1:30" x14ac:dyDescent="0.25">
      <c r="A52" s="1">
        <v>44166</v>
      </c>
      <c r="B52" s="8">
        <f t="shared" si="6"/>
        <v>13310</v>
      </c>
      <c r="C52" s="8">
        <f t="shared" si="1"/>
        <v>13256.76</v>
      </c>
      <c r="E52">
        <v>32881</v>
      </c>
      <c r="F52" s="2">
        <f>IF(E52&gt;0,E52*6.2898*$E$2/Oljepris!D51,F51-F51*$F$2)</f>
        <v>1334.2897664516129</v>
      </c>
      <c r="G52" s="2">
        <v>21356</v>
      </c>
      <c r="H52" s="2">
        <f>IF(G52&gt;0,G52*6.2898*$G$2/Oljepris!D51,H51-H51*$H$2)</f>
        <v>1250.2188144472259</v>
      </c>
      <c r="I52" s="2">
        <v>912</v>
      </c>
      <c r="J52" s="2">
        <f>IF(I52&gt;0,I52/0.2*6.2898*I$2/Oljepris!$D51,J51-J51*J$2)</f>
        <v>128.23400763870967</v>
      </c>
      <c r="K52" s="2">
        <v>52087</v>
      </c>
      <c r="L52" s="2">
        <f>IF(K52&gt;0,K52*6.2898*K$2/Oljepris!$D51,L51-L51*L$2)</f>
        <v>1506.6885845788452</v>
      </c>
      <c r="M52" s="2">
        <v>15241</v>
      </c>
      <c r="N52" s="2">
        <f>IF(M52&gt;0,M52*6.2898*M$2/Oljepris!$D51,N51-N51*N$2)</f>
        <v>1391.5573809677419</v>
      </c>
      <c r="O52" s="2">
        <v>12682</v>
      </c>
      <c r="P52" s="2">
        <f>IF(O52&gt;0,O52*6.2898*O$2/Oljepris!$D51,P51-P51*P$2)</f>
        <v>582.04356459096778</v>
      </c>
      <c r="Q52" s="2">
        <v>76833</v>
      </c>
      <c r="R52" s="2">
        <f>IF(Q52&gt;0,Q52*6.2898*Q$2/Oljepris!$D51,R51-R51*R$2)</f>
        <v>4988.5337125161295</v>
      </c>
      <c r="S52" s="2">
        <v>75243</v>
      </c>
      <c r="T52" s="2">
        <f>IF(S52&gt;0,S52*6.2898*S$2/Oljepris!$D51,T51-T51*T$2)</f>
        <v>2595.3155367096774</v>
      </c>
      <c r="U52" s="2">
        <v>946</v>
      </c>
      <c r="V52" s="2">
        <f>IF(U52&gt;0,U52/0.18*6.2898*U$2/Oljepris!$D51,V51-V51*V$2)</f>
        <v>474.50000058881722</v>
      </c>
      <c r="W52">
        <v>79885</v>
      </c>
      <c r="X52" s="2">
        <f>IF(W52&gt;0,W52*6.2898*W$2/Oljepris!$D51,X51-X51*X$2)</f>
        <v>2431.2613209677415</v>
      </c>
      <c r="Y52" s="2">
        <v>0</v>
      </c>
      <c r="Z52" s="2">
        <f>IF(Y52&gt;0,Y52*6.2898*Y$2/Oljepris!$D51,Z51-Z51*Z$2)</f>
        <v>8.8132861502489035E-7</v>
      </c>
      <c r="AA52" s="2">
        <f t="shared" si="4"/>
        <v>16682.642690338798</v>
      </c>
      <c r="AB52" s="8">
        <f t="shared" si="5"/>
        <v>13256.76</v>
      </c>
      <c r="AC52" s="8">
        <v>17110</v>
      </c>
      <c r="AD52" s="2">
        <f>SUM(AC50:AC52)/3</f>
        <v>15300</v>
      </c>
    </row>
    <row r="53" spans="1:30" x14ac:dyDescent="0.25">
      <c r="A53" s="1">
        <v>44197</v>
      </c>
      <c r="B53" s="8">
        <f t="shared" si="6"/>
        <v>17110</v>
      </c>
      <c r="C53" s="8">
        <f t="shared" si="1"/>
        <v>17041.560000000001</v>
      </c>
      <c r="E53">
        <v>34895</v>
      </c>
      <c r="F53" s="2">
        <f>IF(E53&gt;0,E53*6.2898*$E$2/Oljepris!D52,F52-F52*$F$2)</f>
        <v>1416.0165870967744</v>
      </c>
      <c r="G53" s="2">
        <v>20145</v>
      </c>
      <c r="H53" s="2">
        <f>IF(G53&gt;0,G53*6.2898*$G$2/Oljepris!D52,H52-H52*$H$2)</f>
        <v>1179.3246870687096</v>
      </c>
      <c r="I53" s="2">
        <v>1009</v>
      </c>
      <c r="J53" s="2">
        <f>IF(I53&gt;0,I53/0.2*6.2898*I$2/Oljepris!$D52,J52-J52*J$2)</f>
        <v>141.87293169677417</v>
      </c>
      <c r="K53" s="2">
        <v>48567</v>
      </c>
      <c r="L53" s="2">
        <f>IF(K53&gt;0,K53*6.2898*K$2/Oljepris!$D52,L52-L52*L$2)</f>
        <v>1404.8677114681354</v>
      </c>
      <c r="M53" s="2">
        <v>15106</v>
      </c>
      <c r="N53" s="2">
        <f>IF(M53&gt;0,M53*6.2898*M$2/Oljepris!$D52,N52-N52*N$2)</f>
        <v>1379.2314019354837</v>
      </c>
      <c r="O53" s="2">
        <v>11792</v>
      </c>
      <c r="P53" s="2">
        <f>IF(O53&gt;0,O53*6.2898*O$2/Oljepris!$D52,P52-P52*P$2)</f>
        <v>541.19679180387095</v>
      </c>
      <c r="Q53" s="2">
        <v>74075</v>
      </c>
      <c r="R53" s="2">
        <f>IF(Q53&gt;0,Q53*6.2898*Q$2/Oljepris!$D52,R52-R52*R$2)</f>
        <v>4809.4651354838707</v>
      </c>
      <c r="S53" s="2">
        <v>69787</v>
      </c>
      <c r="T53" s="2">
        <f>IF(S53&gt;0,S53*6.2898*S$2/Oljepris!$D52,T52-T52*T$2)</f>
        <v>2407.1247207096771</v>
      </c>
      <c r="U53" s="2">
        <v>1322</v>
      </c>
      <c r="V53" s="2">
        <f>IF(U53&gt;0,U53/0.18*6.2898*U$2/Oljepris!$D52,V52-V52*V$2)</f>
        <v>663.09619532602153</v>
      </c>
      <c r="W53">
        <v>77128</v>
      </c>
      <c r="X53" s="2">
        <f>IF(W53&gt;0,W53*6.2898*W$2/Oljepris!$D52,X52-X52*X$2)</f>
        <v>2347.3533599999996</v>
      </c>
      <c r="Y53" s="2">
        <v>0</v>
      </c>
      <c r="Z53" s="2">
        <f>IF(Y53&gt;0,Y53*6.2898*Y$2/Oljepris!$D52,Z52-Z52*Z$2)</f>
        <v>8.7251532887464148E-7</v>
      </c>
      <c r="AA53" s="2">
        <f t="shared" si="4"/>
        <v>16289.549523461834</v>
      </c>
      <c r="AB53" s="8">
        <f>F53+H53+J53+L53+N53+P53+R53+T53+V53+X53+Z53</f>
        <v>16289.54952346183</v>
      </c>
    </row>
    <row r="54" spans="1:30" x14ac:dyDescent="0.25">
      <c r="A54" s="1">
        <v>44228</v>
      </c>
      <c r="B54" s="8">
        <f t="shared" si="6"/>
        <v>16289.549523461834</v>
      </c>
      <c r="C54" s="8">
        <f t="shared" si="1"/>
        <v>16224.391325367986</v>
      </c>
      <c r="E54">
        <v>27532</v>
      </c>
      <c r="F54" s="2">
        <f>IF(E54&gt;0,E54*6.2898*$E$2/Oljepris!D53,F53-F53*$F$2)</f>
        <v>1236.9340971428571</v>
      </c>
      <c r="G54" s="2">
        <v>17429</v>
      </c>
      <c r="H54" s="2">
        <f>IF(G54&gt;0,G54*6.2898*$G$2/Oljepris!D53,H53-H53*$H$2)</f>
        <v>1129.6456921223571</v>
      </c>
      <c r="I54" s="2">
        <v>1108</v>
      </c>
      <c r="J54" s="2">
        <f>IF(I54&gt;0,I54/0.2*6.2898*I$2/Oljepris!$D53,J53-J53*J$2)</f>
        <v>172.48518540000001</v>
      </c>
      <c r="K54" s="2">
        <v>37844</v>
      </c>
      <c r="L54" s="2">
        <f>IF(K54&gt;0,K54*6.2898*K$2/Oljepris!$D53,L53-L53*L$2)</f>
        <v>1211.9783155646569</v>
      </c>
      <c r="M54" s="2">
        <v>13663</v>
      </c>
      <c r="N54" s="2">
        <f>IF(M54&gt;0,M54*6.2898*M$2/Oljepris!$D53,N53-N53*N$2)</f>
        <v>1381.1389939285714</v>
      </c>
      <c r="O54" s="2">
        <v>10786</v>
      </c>
      <c r="P54" s="2">
        <f>IF(O54&gt;0,O54*6.2898*O$2/Oljepris!$D53,P53-P53*P$2)</f>
        <v>548.06468819142867</v>
      </c>
      <c r="Q54" s="2">
        <v>56812</v>
      </c>
      <c r="R54" s="2">
        <f>IF(Q54&gt;0,Q54*6.2898*Q$2/Oljepris!$D53,R53-R53*R$2)</f>
        <v>4083.8413439999999</v>
      </c>
      <c r="S54" s="2">
        <v>62774</v>
      </c>
      <c r="T54" s="2">
        <f>IF(S54&gt;0,S54*6.2898*S$2/Oljepris!$D53,T53-T53*T$2)</f>
        <v>2397.2179958571428</v>
      </c>
      <c r="U54" s="2">
        <v>1179</v>
      </c>
      <c r="V54" s="2">
        <f>IF(U54&gt;0,U54/0.18*6.2898*U$2/Oljepris!$D53,V53-V53*V$2)</f>
        <v>654.73046366357141</v>
      </c>
      <c r="W54">
        <v>51609</v>
      </c>
      <c r="X54" s="2">
        <f>IF(W54&gt;0,W54*6.2898*W$2/Oljepris!$D53,X53-X53*X$2)</f>
        <v>1738.9836867857139</v>
      </c>
      <c r="Y54" s="2">
        <v>0</v>
      </c>
      <c r="Z54" s="2">
        <f>IF(Y54&gt;0,Y54*6.2898*Y$2/Oljepris!$D53,Z53-Z53*Z$2)</f>
        <v>8.6379017558589505E-7</v>
      </c>
      <c r="AA54" s="2">
        <f t="shared" si="4"/>
        <v>14555.02046352009</v>
      </c>
      <c r="AB54" s="8">
        <f t="shared" ref="AB54:AB76" si="7">F54+H54+J54+L54+N54+P54+R54+T54+V54+X54+Z54</f>
        <v>14555.02046352009</v>
      </c>
    </row>
    <row r="55" spans="1:30" x14ac:dyDescent="0.25">
      <c r="A55" s="1">
        <v>44256</v>
      </c>
      <c r="B55" s="8">
        <f t="shared" si="6"/>
        <v>14555.02046352009</v>
      </c>
      <c r="C55" s="8">
        <f t="shared" si="1"/>
        <v>14496.800381666009</v>
      </c>
      <c r="F55" s="2">
        <f>IF(E55&gt;0,E55*6.2898*$E$2/Oljepris!D54,F54-F54*$F$2)</f>
        <v>1249.3034381142857</v>
      </c>
      <c r="H55" s="2">
        <f>IF(G55&gt;0,G55*6.2898*$G$2/Oljepris!D54,H54-H54*$H$2)</f>
        <v>1118.3492352011335</v>
      </c>
      <c r="J55" s="2">
        <f>IF(I55&gt;0,I55/0.2*6.2898*I$2/Oljepris!$D54,J54-J54*J$2)</f>
        <v>170.760333546</v>
      </c>
      <c r="L55" s="2">
        <f>IF(K55&gt;0,K55*6.2898*K$2/Oljepris!$D54,L54-L54*L$2)</f>
        <v>1199.8585324090104</v>
      </c>
      <c r="N55" s="2">
        <f>IF(M55&gt;0,M55*6.2898*M$2/Oljepris!$D54,N54-N54*N$2)</f>
        <v>1339.7048241107143</v>
      </c>
      <c r="P55" s="2">
        <f>IF(O55&gt;0,O55*6.2898*O$2/Oljepris!$D54,P54-P54*P$2)</f>
        <v>539.84371786855729</v>
      </c>
      <c r="R55" s="2">
        <f>IF(Q55&gt;0,Q55*6.2898*Q$2/Oljepris!$D54,R54-R54*R$2)</f>
        <v>3920.4876902400001</v>
      </c>
      <c r="T55" s="2">
        <f>IF(S55&gt;0,S55*6.2898*S$2/Oljepris!$D54,T54-T54*T$2)</f>
        <v>2373.2458158985714</v>
      </c>
      <c r="V55" s="2">
        <f>IF(U55&gt;0,U55/0.18*6.2898*U$2/Oljepris!$D54,V54-V54*V$2)</f>
        <v>648.18315902693575</v>
      </c>
      <c r="X55" s="2">
        <f>IF(W55&gt;0,W55*6.2898*W$2/Oljepris!$D54,X54-X54*X$2)</f>
        <v>1737.2447030989281</v>
      </c>
      <c r="Z55" s="2">
        <f>IF(Y55&gt;0,Y55*6.2898*Y$2/Oljepris!$D54,Z54-Z54*Z$2)</f>
        <v>8.5515227383003614E-7</v>
      </c>
      <c r="AA55" s="2">
        <f t="shared" si="4"/>
        <v>14296.981450369294</v>
      </c>
      <c r="AB55" s="8">
        <f t="shared" si="7"/>
        <v>14296.981450369289</v>
      </c>
    </row>
    <row r="56" spans="1:30" x14ac:dyDescent="0.25">
      <c r="A56" s="1">
        <v>44287</v>
      </c>
      <c r="B56" s="8">
        <f t="shared" si="6"/>
        <v>14296.981450369294</v>
      </c>
      <c r="C56" s="8">
        <f t="shared" si="1"/>
        <v>14239.793524567816</v>
      </c>
      <c r="F56" s="2">
        <f>IF(E56&gt;0,E56*6.2898*$E$2/Oljepris!D55,F55-F55*$F$2)</f>
        <v>1261.7964724954286</v>
      </c>
      <c r="H56" s="2">
        <f>IF(G56&gt;0,G56*6.2898*$G$2/Oljepris!D55,H55-H55*$H$2)</f>
        <v>1107.1657428491221</v>
      </c>
      <c r="J56" s="2">
        <f>IF(I56&gt;0,I56/0.2*6.2898*I$2/Oljepris!$D55,J55-J55*J$2)</f>
        <v>169.05273021054001</v>
      </c>
      <c r="L56" s="2">
        <f>IF(K56&gt;0,K56*6.2898*K$2/Oljepris!$D55,L55-L55*L$2)</f>
        <v>1187.8599470849203</v>
      </c>
      <c r="N56" s="2">
        <f>IF(M56&gt;0,M56*6.2898*M$2/Oljepris!$D55,N55-N55*N$2)</f>
        <v>1299.5136793873928</v>
      </c>
      <c r="P56" s="2">
        <f>IF(O56&gt;0,O56*6.2898*O$2/Oljepris!$D55,P55-P55*P$2)</f>
        <v>531.74606210052889</v>
      </c>
      <c r="R56" s="2">
        <f>IF(Q56&gt;0,Q56*6.2898*Q$2/Oljepris!$D55,R55-R55*R$2)</f>
        <v>3763.6681826304002</v>
      </c>
      <c r="T56" s="2">
        <f>IF(S56&gt;0,S56*6.2898*S$2/Oljepris!$D55,T55-T55*T$2)</f>
        <v>2349.5133577395859</v>
      </c>
      <c r="V56" s="2">
        <f>IF(U56&gt;0,U56/0.18*6.2898*U$2/Oljepris!$D55,V55-V55*V$2)</f>
        <v>641.70132743666636</v>
      </c>
      <c r="X56" s="2">
        <f>IF(W56&gt;0,W56*6.2898*W$2/Oljepris!$D55,X55-X55*X$2)</f>
        <v>1735.5074583958292</v>
      </c>
      <c r="Z56" s="2">
        <f>IF(Y56&gt;0,Y56*6.2898*Y$2/Oljepris!$D55,Z55-Z55*Z$2)</f>
        <v>8.4660075109173573E-7</v>
      </c>
      <c r="AA56" s="2">
        <f t="shared" si="4"/>
        <v>14047.524961177014</v>
      </c>
      <c r="AB56" s="8">
        <f t="shared" si="7"/>
        <v>14047.524961177014</v>
      </c>
    </row>
    <row r="57" spans="1:30" x14ac:dyDescent="0.25">
      <c r="A57" s="1">
        <v>44317</v>
      </c>
      <c r="B57" s="8">
        <f t="shared" si="6"/>
        <v>14047.524961177014</v>
      </c>
      <c r="C57" s="8">
        <f t="shared" si="1"/>
        <v>13991.334861332307</v>
      </c>
      <c r="F57" s="2">
        <f>IF(E57&gt;0,E57*6.2898*$E$2/Oljepris!D56,F56-F56*$F$2)</f>
        <v>1274.414437220383</v>
      </c>
      <c r="H57" s="2">
        <f>IF(G57&gt;0,G57*6.2898*$G$2/Oljepris!D56,H56-H56*$H$2)</f>
        <v>1096.094085420631</v>
      </c>
      <c r="J57" s="2">
        <f>IF(I57&gt;0,I57/0.2*6.2898*I$2/Oljepris!$D56,J56-J56*J$2)</f>
        <v>167.3622029084346</v>
      </c>
      <c r="L57" s="2">
        <f>IF(K57&gt;0,K57*6.2898*K$2/Oljepris!$D56,L56-L56*L$2)</f>
        <v>1175.9813476140712</v>
      </c>
      <c r="N57" s="2">
        <f>IF(M57&gt;0,M57*6.2898*M$2/Oljepris!$D56,N56-N56*N$2)</f>
        <v>1260.5282690057711</v>
      </c>
      <c r="P57" s="2">
        <f>IF(O57&gt;0,O57*6.2898*O$2/Oljepris!$D56,P56-P56*P$2)</f>
        <v>523.76987116902092</v>
      </c>
      <c r="R57" s="2">
        <f>IF(Q57&gt;0,Q57*6.2898*Q$2/Oljepris!$D56,R56-R56*R$2)</f>
        <v>3613.1214553251843</v>
      </c>
      <c r="T57" s="2">
        <f>IF(S57&gt;0,S57*6.2898*S$2/Oljepris!$D56,T56-T56*T$2)</f>
        <v>2326.0182241621901</v>
      </c>
      <c r="V57" s="2">
        <f>IF(U57&gt;0,U57/0.18*6.2898*U$2/Oljepris!$D56,V56-V56*V$2)</f>
        <v>635.28431416229967</v>
      </c>
      <c r="X57" s="2">
        <f>IF(W57&gt;0,W57*6.2898*W$2/Oljepris!$D56,X56-X56*X$2)</f>
        <v>1733.7719509374333</v>
      </c>
      <c r="Z57" s="2">
        <f>IF(Y57&gt;0,Y57*6.2898*Y$2/Oljepris!$D56,Z56-Z56*Z$2)</f>
        <v>8.3813474358081833E-7</v>
      </c>
      <c r="AA57" s="2">
        <f t="shared" si="4"/>
        <v>13806.346158763556</v>
      </c>
      <c r="AB57" s="8">
        <f t="shared" si="7"/>
        <v>13806.346158763552</v>
      </c>
    </row>
    <row r="58" spans="1:30" x14ac:dyDescent="0.25">
      <c r="A58" s="1">
        <v>44348</v>
      </c>
      <c r="B58" s="8">
        <f t="shared" si="6"/>
        <v>13806.346158763556</v>
      </c>
      <c r="C58" s="8">
        <f t="shared" si="1"/>
        <v>13751.120774128502</v>
      </c>
      <c r="F58" s="2">
        <f>IF(E58&gt;0,E58*6.2898*$E$2/Oljepris!D57,F57-F57*$F$2)</f>
        <v>1287.1585815925869</v>
      </c>
      <c r="H58" s="2">
        <f>IF(G58&gt;0,G58*6.2898*$G$2/Oljepris!D57,H57-H57*$H$2)</f>
        <v>1085.1331445664248</v>
      </c>
      <c r="J58" s="2">
        <f>IF(I58&gt;0,I58/0.2*6.2898*I$2/Oljepris!$D57,J57-J57*J$2)</f>
        <v>165.68858087935024</v>
      </c>
      <c r="L58" s="2">
        <f>IF(K58&gt;0,K58*6.2898*K$2/Oljepris!$D57,L57-L57*L$2)</f>
        <v>1164.2215341379306</v>
      </c>
      <c r="N58" s="2">
        <f>IF(M58&gt;0,M58*6.2898*M$2/Oljepris!$D57,N57-N57*N$2)</f>
        <v>1222.7124209355979</v>
      </c>
      <c r="P58" s="2">
        <f>IF(O58&gt;0,O58*6.2898*O$2/Oljepris!$D57,P57-P57*P$2)</f>
        <v>515.91332310148562</v>
      </c>
      <c r="R58" s="2">
        <f>IF(Q58&gt;0,Q58*6.2898*Q$2/Oljepris!$D57,R57-R57*R$2)</f>
        <v>3468.5965971121768</v>
      </c>
      <c r="T58" s="2">
        <f>IF(S58&gt;0,S58*6.2898*S$2/Oljepris!$D57,T57-T57*T$2)</f>
        <v>2302.7580419205683</v>
      </c>
      <c r="V58" s="2">
        <f>IF(U58&gt;0,U58/0.18*6.2898*U$2/Oljepris!$D57,V57-V57*V$2)</f>
        <v>628.93147102067667</v>
      </c>
      <c r="X58" s="2">
        <f>IF(W58&gt;0,W58*6.2898*W$2/Oljepris!$D57,X57-X57*X$2)</f>
        <v>1732.038178986496</v>
      </c>
      <c r="Z58" s="2">
        <f>IF(Y58&gt;0,Y58*6.2898*Y$2/Oljepris!$D57,Z57-Z57*Z$2)</f>
        <v>8.2975339614501015E-7</v>
      </c>
      <c r="AA58" s="2">
        <f t="shared" si="4"/>
        <v>13573.151875083049</v>
      </c>
      <c r="AB58" s="8">
        <f t="shared" si="7"/>
        <v>13573.151875083047</v>
      </c>
    </row>
    <row r="59" spans="1:30" x14ac:dyDescent="0.25">
      <c r="A59" s="1">
        <v>44378</v>
      </c>
      <c r="B59" s="8">
        <f t="shared" si="6"/>
        <v>13573.151875083049</v>
      </c>
      <c r="C59" s="8">
        <f t="shared" si="1"/>
        <v>13518.859267582717</v>
      </c>
      <c r="F59" s="2">
        <f>IF(E59&gt;0,E59*6.2898*$E$2/Oljepris!D58,F58-F58*$F$2)</f>
        <v>1300.0301674085126</v>
      </c>
      <c r="H59" s="2">
        <f>IF(G59&gt;0,G59*6.2898*$G$2/Oljepris!D58,H58-H58*$H$2)</f>
        <v>1074.2818131207605</v>
      </c>
      <c r="J59" s="2">
        <f>IF(I59&gt;0,I59/0.2*6.2898*I$2/Oljepris!$D58,J58-J58*J$2)</f>
        <v>164.03169507055674</v>
      </c>
      <c r="L59" s="2">
        <f>IF(K59&gt;0,K59*6.2898*K$2/Oljepris!$D58,L58-L58*L$2)</f>
        <v>1152.5793187965512</v>
      </c>
      <c r="N59" s="2">
        <f>IF(M59&gt;0,M59*6.2898*M$2/Oljepris!$D58,N58-N58*N$2)</f>
        <v>1186.03104830753</v>
      </c>
      <c r="P59" s="2">
        <f>IF(O59&gt;0,O59*6.2898*O$2/Oljepris!$D58,P58-P58*P$2)</f>
        <v>508.17462325496331</v>
      </c>
      <c r="R59" s="2">
        <f>IF(Q59&gt;0,Q59*6.2898*Q$2/Oljepris!$D58,R58-R58*R$2)</f>
        <v>3329.8527332276899</v>
      </c>
      <c r="T59" s="2">
        <f>IF(S59&gt;0,S59*6.2898*S$2/Oljepris!$D58,T58-T58*T$2)</f>
        <v>2279.7304615013627</v>
      </c>
      <c r="V59" s="2">
        <f>IF(U59&gt;0,U59/0.18*6.2898*U$2/Oljepris!$D58,V58-V58*V$2)</f>
        <v>622.64215631046989</v>
      </c>
      <c r="X59" s="2">
        <f>IF(W59&gt;0,W59*6.2898*W$2/Oljepris!$D58,X58-X58*X$2)</f>
        <v>1730.3061408075096</v>
      </c>
      <c r="Z59" s="2">
        <f>IF(Y59&gt;0,Y59*6.2898*Y$2/Oljepris!$D58,Z58-Z58*Z$2)</f>
        <v>8.2145586218356006E-7</v>
      </c>
      <c r="AA59" s="2">
        <f t="shared" si="4"/>
        <v>13347.660158627363</v>
      </c>
      <c r="AB59" s="8">
        <f t="shared" si="7"/>
        <v>13347.660158627363</v>
      </c>
    </row>
    <row r="60" spans="1:30" x14ac:dyDescent="0.25">
      <c r="A60" s="1">
        <v>44409</v>
      </c>
      <c r="B60" s="8">
        <f t="shared" si="6"/>
        <v>13347.660158627363</v>
      </c>
      <c r="C60" s="8">
        <f t="shared" si="1"/>
        <v>13294.269517992854</v>
      </c>
      <c r="F60" s="2">
        <f>IF(E60&gt;0,E60*6.2898*$E$2/Oljepris!D59,F59-F59*$F$2)</f>
        <v>1313.0304690825978</v>
      </c>
      <c r="H60" s="2">
        <f>IF(G60&gt;0,G60*6.2898*$G$2/Oljepris!D59,H59-H59*$H$2)</f>
        <v>1063.538994989553</v>
      </c>
      <c r="J60" s="2">
        <f>IF(I60&gt;0,I60/0.2*6.2898*I$2/Oljepris!$D59,J59-J59*J$2)</f>
        <v>162.39137811985117</v>
      </c>
      <c r="L60" s="2">
        <f>IF(K60&gt;0,K60*6.2898*K$2/Oljepris!$D59,L59-L59*L$2)</f>
        <v>1141.0535256085857</v>
      </c>
      <c r="N60" s="2">
        <f>IF(M60&gt;0,M60*6.2898*M$2/Oljepris!$D59,N59-N59*N$2)</f>
        <v>1150.450116858304</v>
      </c>
      <c r="P60" s="2">
        <f>IF(O60&gt;0,O60*6.2898*O$2/Oljepris!$D59,P59-P59*P$2)</f>
        <v>500.55200390613885</v>
      </c>
      <c r="R60" s="2">
        <f>IF(Q60&gt;0,Q60*6.2898*Q$2/Oljepris!$D59,R59-R59*R$2)</f>
        <v>3196.6586238985824</v>
      </c>
      <c r="T60" s="2">
        <f>IF(S60&gt;0,S60*6.2898*S$2/Oljepris!$D59,T59-T59*T$2)</f>
        <v>2256.933156886349</v>
      </c>
      <c r="V60" s="2">
        <f>IF(U60&gt;0,U60/0.18*6.2898*U$2/Oljepris!$D59,V59-V59*V$2)</f>
        <v>616.41573474736515</v>
      </c>
      <c r="X60" s="2">
        <f>IF(W60&gt;0,W60*6.2898*W$2/Oljepris!$D59,X59-X59*X$2)</f>
        <v>1728.5758346667021</v>
      </c>
      <c r="Z60" s="2">
        <f>IF(Y60&gt;0,Y60*6.2898*Y$2/Oljepris!$D59,Z59-Z59*Z$2)</f>
        <v>8.1324130356172441E-7</v>
      </c>
      <c r="AA60" s="2">
        <f t="shared" si="4"/>
        <v>13129.599839577271</v>
      </c>
      <c r="AB60" s="8">
        <f t="shared" si="7"/>
        <v>13129.599839577269</v>
      </c>
    </row>
    <row r="61" spans="1:30" x14ac:dyDescent="0.25">
      <c r="A61" s="1">
        <v>44440</v>
      </c>
      <c r="B61" s="8">
        <f t="shared" si="6"/>
        <v>13129.599839577271</v>
      </c>
      <c r="C61" s="8">
        <f t="shared" si="1"/>
        <v>13077.081440218963</v>
      </c>
      <c r="F61" s="2">
        <f>IF(E61&gt;0,E61*6.2898*$E$2/Oljepris!D60,F60-F60*$F$2)</f>
        <v>1326.1607737734239</v>
      </c>
      <c r="H61" s="2">
        <f>IF(G61&gt;0,G61*6.2898*$G$2/Oljepris!D60,H60-H60*$H$2)</f>
        <v>1052.9036050396574</v>
      </c>
      <c r="J61" s="2">
        <f>IF(I61&gt;0,I61/0.2*6.2898*I$2/Oljepris!$D60,J60-J60*J$2)</f>
        <v>160.76746433865264</v>
      </c>
      <c r="L61" s="2">
        <f>IF(K61&gt;0,K61*6.2898*K$2/Oljepris!$D60,L60-L60*L$2)</f>
        <v>1129.6429903524997</v>
      </c>
      <c r="N61" s="2">
        <f>IF(M61&gt;0,M61*6.2898*M$2/Oljepris!$D60,N60-N60*N$2)</f>
        <v>1115.9366133525548</v>
      </c>
      <c r="P61" s="2">
        <f>IF(O61&gt;0,O61*6.2898*O$2/Oljepris!$D60,P60-P60*P$2)</f>
        <v>493.04372384754674</v>
      </c>
      <c r="R61" s="2">
        <f>IF(Q61&gt;0,Q61*6.2898*Q$2/Oljepris!$D60,R60-R60*R$2)</f>
        <v>3068.7922789426393</v>
      </c>
      <c r="T61" s="2">
        <f>IF(S61&gt;0,S61*6.2898*S$2/Oljepris!$D60,T60-T60*T$2)</f>
        <v>2234.3638253174854</v>
      </c>
      <c r="V61" s="2">
        <f>IF(U61&gt;0,U61/0.18*6.2898*U$2/Oljepris!$D60,V60-V60*V$2)</f>
        <v>610.25157739989152</v>
      </c>
      <c r="X61" s="2">
        <f>IF(W61&gt;0,W61*6.2898*W$2/Oljepris!$D60,X60-X60*X$2)</f>
        <v>1726.8472588320353</v>
      </c>
      <c r="Z61" s="2">
        <f>IF(Y61&gt;0,Y61*6.2898*Y$2/Oljepris!$D60,Z60-Z60*Z$2)</f>
        <v>8.0510889052610718E-7</v>
      </c>
      <c r="AA61" s="2">
        <f t="shared" si="4"/>
        <v>12918.710112001496</v>
      </c>
      <c r="AB61" s="8">
        <f t="shared" si="7"/>
        <v>12918.710112001492</v>
      </c>
    </row>
    <row r="62" spans="1:30" x14ac:dyDescent="0.25">
      <c r="A62" s="1">
        <v>44470</v>
      </c>
      <c r="B62" s="8">
        <f t="shared" si="6"/>
        <v>12918.710112001496</v>
      </c>
      <c r="C62" s="8">
        <f t="shared" si="1"/>
        <v>12867.03527155349</v>
      </c>
      <c r="F62" s="2">
        <f>IF(E62&gt;0,E62*6.2898*$E$2/Oljepris!D61,F61-F61*$F$2)</f>
        <v>1339.4223815111582</v>
      </c>
      <c r="H62" s="2">
        <f>IF(G62&gt;0,G62*6.2898*$G$2/Oljepris!D61,H61-H61*$H$2)</f>
        <v>1042.3745689892608</v>
      </c>
      <c r="J62" s="2">
        <f>IF(I62&gt;0,I62/0.2*6.2898*I$2/Oljepris!$D61,J61-J61*J$2)</f>
        <v>159.15978969526611</v>
      </c>
      <c r="L62" s="2">
        <f>IF(K62&gt;0,K62*6.2898*K$2/Oljepris!$D61,L61-L61*L$2)</f>
        <v>1118.3465604489747</v>
      </c>
      <c r="N62" s="2">
        <f>IF(M62&gt;0,M62*6.2898*M$2/Oljepris!$D61,N61-N61*N$2)</f>
        <v>1082.458514951978</v>
      </c>
      <c r="P62" s="2">
        <f>IF(O62&gt;0,O62*6.2898*O$2/Oljepris!$D61,P61-P61*P$2)</f>
        <v>485.64806798983352</v>
      </c>
      <c r="R62" s="2">
        <f>IF(Q62&gt;0,Q62*6.2898*Q$2/Oljepris!$D61,R61-R61*R$2)</f>
        <v>2946.0405877849339</v>
      </c>
      <c r="T62" s="2">
        <f>IF(S62&gt;0,S62*6.2898*S$2/Oljepris!$D61,T61-T61*T$2)</f>
        <v>2212.0201870643104</v>
      </c>
      <c r="V62" s="2">
        <f>IF(U62&gt;0,U62/0.18*6.2898*U$2/Oljepris!$D61,V61-V61*V$2)</f>
        <v>604.14906162589261</v>
      </c>
      <c r="X62" s="2">
        <f>IF(W62&gt;0,W62*6.2898*W$2/Oljepris!$D61,X61-X61*X$2)</f>
        <v>1725.1204115732032</v>
      </c>
      <c r="Z62" s="2">
        <f>IF(Y62&gt;0,Y62*6.2898*Y$2/Oljepris!$D61,Z61-Z61*Z$2)</f>
        <v>7.9705780162084612E-7</v>
      </c>
      <c r="AA62" s="2">
        <f t="shared" si="4"/>
        <v>12714.740132431867</v>
      </c>
      <c r="AB62" s="8">
        <f t="shared" si="7"/>
        <v>12714.740132431869</v>
      </c>
    </row>
    <row r="63" spans="1:30" x14ac:dyDescent="0.25">
      <c r="A63" s="1">
        <v>44501</v>
      </c>
      <c r="B63" s="8">
        <f t="shared" si="6"/>
        <v>12714.740132431867</v>
      </c>
      <c r="C63" s="8">
        <f t="shared" si="1"/>
        <v>12663.88117190214</v>
      </c>
      <c r="F63" s="2">
        <f>IF(E63&gt;0,E63*6.2898*$E$2/Oljepris!D62,F62-F62*$F$2)</f>
        <v>1352.8166053262698</v>
      </c>
      <c r="H63" s="2">
        <f>IF(G63&gt;0,G63*6.2898*$G$2/Oljepris!D62,H62-H62*$H$2)</f>
        <v>1031.950823299368</v>
      </c>
      <c r="J63" s="2">
        <f>IF(I63&gt;0,I63/0.2*6.2898*I$2/Oljepris!$D62,J62-J62*J$2)</f>
        <v>157.56819179831345</v>
      </c>
      <c r="L63" s="2">
        <f>IF(K63&gt;0,K63*6.2898*K$2/Oljepris!$D62,L62-L62*L$2)</f>
        <v>1107.1630948444849</v>
      </c>
      <c r="N63" s="2">
        <f>IF(M63&gt;0,M63*6.2898*M$2/Oljepris!$D62,N62-N62*N$2)</f>
        <v>1049.9847595034187</v>
      </c>
      <c r="P63" s="2">
        <f>IF(O63&gt;0,O63*6.2898*O$2/Oljepris!$D62,P62-P62*P$2)</f>
        <v>478.36334696998603</v>
      </c>
      <c r="R63" s="2">
        <f>IF(Q63&gt;0,Q63*6.2898*Q$2/Oljepris!$D62,R62-R62*R$2)</f>
        <v>2828.1989642735366</v>
      </c>
      <c r="T63" s="2">
        <f>IF(S63&gt;0,S63*6.2898*S$2/Oljepris!$D62,T62-T62*T$2)</f>
        <v>2189.8999851936674</v>
      </c>
      <c r="V63" s="2">
        <f>IF(U63&gt;0,U63/0.18*6.2898*U$2/Oljepris!$D62,V62-V62*V$2)</f>
        <v>598.10757100963372</v>
      </c>
      <c r="X63" s="2">
        <f>IF(W63&gt;0,W63*6.2898*W$2/Oljepris!$D62,X62-X62*X$2)</f>
        <v>1723.39529116163</v>
      </c>
      <c r="Z63" s="2">
        <f>IF(Y63&gt;0,Y63*6.2898*Y$2/Oljepris!$D62,Z62-Z62*Z$2)</f>
        <v>7.8908722360463765E-7</v>
      </c>
      <c r="AA63" s="2">
        <f t="shared" si="4"/>
        <v>12517.448634169396</v>
      </c>
      <c r="AB63" s="8">
        <f t="shared" si="7"/>
        <v>12517.448634169397</v>
      </c>
    </row>
    <row r="64" spans="1:30" x14ac:dyDescent="0.25">
      <c r="A64" s="1">
        <v>44531</v>
      </c>
      <c r="B64" s="8">
        <f t="shared" si="6"/>
        <v>12517.448634169396</v>
      </c>
      <c r="C64" s="8">
        <f t="shared" si="1"/>
        <v>12467.378839632718</v>
      </c>
      <c r="F64" s="2">
        <f>IF(E64&gt;0,E64*6.2898*$E$2/Oljepris!D63,F63-F63*$F$2)</f>
        <v>1366.3447713795326</v>
      </c>
      <c r="H64" s="2">
        <f>IF(G64&gt;0,G64*6.2898*$G$2/Oljepris!D63,H63-H63*$H$2)</f>
        <v>1021.6313150663743</v>
      </c>
      <c r="J64" s="2">
        <f>IF(I64&gt;0,I64/0.2*6.2898*I$2/Oljepris!$D63,J63-J63*J$2)</f>
        <v>155.99250988033032</v>
      </c>
      <c r="L64" s="2">
        <f>IF(K64&gt;0,K64*6.2898*K$2/Oljepris!$D63,L63-L63*L$2)</f>
        <v>1096.0914638960401</v>
      </c>
      <c r="N64" s="2">
        <f>IF(M64&gt;0,M64*6.2898*M$2/Oljepris!$D63,N63-N63*N$2)</f>
        <v>1018.4852167183161</v>
      </c>
      <c r="P64" s="2">
        <f>IF(O64&gt;0,O64*6.2898*O$2/Oljepris!$D63,P63-P63*P$2)</f>
        <v>471.18789676543622</v>
      </c>
      <c r="R64" s="2">
        <f>IF(Q64&gt;0,Q64*6.2898*Q$2/Oljepris!$D63,R63-R63*R$2)</f>
        <v>2715.0710057025954</v>
      </c>
      <c r="T64" s="2">
        <f>IF(S64&gt;0,S64*6.2898*S$2/Oljepris!$D63,T63-T63*T$2)</f>
        <v>2168.0009853417305</v>
      </c>
      <c r="V64" s="2">
        <f>IF(U64&gt;0,U64/0.18*6.2898*U$2/Oljepris!$D63,V63-V63*V$2)</f>
        <v>592.1264952995374</v>
      </c>
      <c r="X64" s="2">
        <f>IF(W64&gt;0,W64*6.2898*W$2/Oljepris!$D63,X63-X63*X$2)</f>
        <v>1721.6718958704685</v>
      </c>
      <c r="Z64" s="2">
        <f>IF(Y64&gt;0,Y64*6.2898*Y$2/Oljepris!$D63,Z63-Z63*Z$2)</f>
        <v>7.8119635136859129E-7</v>
      </c>
      <c r="AA64" s="2">
        <f t="shared" si="4"/>
        <v>12326.603556701557</v>
      </c>
      <c r="AB64" s="8">
        <f t="shared" si="7"/>
        <v>12326.603556701557</v>
      </c>
    </row>
    <row r="65" spans="1:28" x14ac:dyDescent="0.25">
      <c r="A65" s="1">
        <v>44562</v>
      </c>
      <c r="B65" s="8">
        <f t="shared" si="6"/>
        <v>12326.603556701557</v>
      </c>
      <c r="C65" s="8">
        <f t="shared" si="1"/>
        <v>12277.29714247475</v>
      </c>
      <c r="F65" s="2">
        <f>IF(E65&gt;0,E65*6.2898*$E$2/Oljepris!D64,F64-F64*$F$2)</f>
        <v>1380.0082190933279</v>
      </c>
      <c r="H65" s="2">
        <f>IF(G65&gt;0,G65*6.2898*$G$2/Oljepris!D64,H64-H64*$H$2)</f>
        <v>1011.4150019157106</v>
      </c>
      <c r="J65" s="2">
        <f>IF(I65&gt;0,I65/0.2*6.2898*I$2/Oljepris!$D64,J64-J64*J$2)</f>
        <v>154.43258478152703</v>
      </c>
      <c r="L65" s="2">
        <f>IF(K65&gt;0,K65*6.2898*K$2/Oljepris!$D64,L64-L64*L$2)</f>
        <v>1085.1305492570796</v>
      </c>
      <c r="N65" s="2">
        <f>IF(M65&gt;0,M65*6.2898*M$2/Oljepris!$D64,N64-N64*N$2)</f>
        <v>987.93066021676668</v>
      </c>
      <c r="P65" s="2">
        <f>IF(O65&gt;0,O65*6.2898*O$2/Oljepris!$D64,P64-P64*P$2)</f>
        <v>464.12007831395465</v>
      </c>
      <c r="R65" s="2">
        <f>IF(Q65&gt;0,Q65*6.2898*Q$2/Oljepris!$D64,R64-R64*R$2)</f>
        <v>2606.4681654744913</v>
      </c>
      <c r="T65" s="2">
        <f>IF(S65&gt;0,S65*6.2898*S$2/Oljepris!$D64,T64-T64*T$2)</f>
        <v>2146.3209754883133</v>
      </c>
      <c r="V65" s="2">
        <f>IF(U65&gt;0,U65/0.18*6.2898*U$2/Oljepris!$D64,V64-V64*V$2)</f>
        <v>586.20523034654207</v>
      </c>
      <c r="X65" s="2">
        <f>IF(W65&gt;0,W65*6.2898*W$2/Oljepris!$D64,X64-X64*X$2)</f>
        <v>1719.950223974598</v>
      </c>
      <c r="Z65" s="2">
        <f>IF(Y65&gt;0,Y65*6.2898*Y$2/Oljepris!$D64,Z64-Z64*Z$2)</f>
        <v>7.7338438785490536E-7</v>
      </c>
      <c r="AA65" s="2">
        <f t="shared" si="4"/>
        <v>12141.981689635695</v>
      </c>
      <c r="AB65" s="8">
        <f t="shared" si="7"/>
        <v>12141.981689635697</v>
      </c>
    </row>
    <row r="66" spans="1:28" x14ac:dyDescent="0.25">
      <c r="A66" s="1">
        <v>44593</v>
      </c>
      <c r="B66" s="8">
        <f t="shared" si="6"/>
        <v>12141.981689635695</v>
      </c>
      <c r="C66" s="8">
        <f t="shared" si="1"/>
        <v>12093.413762877153</v>
      </c>
      <c r="F66" s="2">
        <f>IF(E66&gt;0,E66*6.2898*$E$2/Oljepris!D65,F65-F65*$F$2)</f>
        <v>1393.8083012842612</v>
      </c>
      <c r="H66" s="2">
        <f>IF(G66&gt;0,G66*6.2898*$G$2/Oljepris!D65,H65-H65*$H$2)</f>
        <v>1001.3008518965535</v>
      </c>
      <c r="J66" s="2">
        <f>IF(I66&gt;0,I66/0.2*6.2898*I$2/Oljepris!$D65,J65-J65*J$2)</f>
        <v>152.88825893371177</v>
      </c>
      <c r="L66" s="2">
        <f>IF(K66&gt;0,K66*6.2898*K$2/Oljepris!$D65,L65-L65*L$2)</f>
        <v>1074.2792437645087</v>
      </c>
      <c r="N66" s="2">
        <f>IF(M66&gt;0,M66*6.2898*M$2/Oljepris!$D65,N65-N65*N$2)</f>
        <v>958.29274041026372</v>
      </c>
      <c r="P66" s="2">
        <f>IF(O66&gt;0,O66*6.2898*O$2/Oljepris!$D65,P65-P65*P$2)</f>
        <v>457.15827713924534</v>
      </c>
      <c r="R66" s="2">
        <f>IF(Q66&gt;0,Q66*6.2898*Q$2/Oljepris!$D65,R65-R65*R$2)</f>
        <v>2502.2094388555115</v>
      </c>
      <c r="T66" s="2">
        <f>IF(S66&gt;0,S66*6.2898*S$2/Oljepris!$D65,T65-T65*T$2)</f>
        <v>2124.8577657334299</v>
      </c>
      <c r="V66" s="2">
        <f>IF(U66&gt;0,U66/0.18*6.2898*U$2/Oljepris!$D65,V65-V65*V$2)</f>
        <v>580.34317804307659</v>
      </c>
      <c r="X66" s="2">
        <f>IF(W66&gt;0,W66*6.2898*W$2/Oljepris!$D65,X65-X65*X$2)</f>
        <v>1718.2302737506234</v>
      </c>
      <c r="Z66" s="2">
        <f>IF(Y66&gt;0,Y66*6.2898*Y$2/Oljepris!$D65,Z65-Z65*Z$2)</f>
        <v>7.6565054397635634E-7</v>
      </c>
      <c r="AA66" s="2">
        <f t="shared" si="4"/>
        <v>11963.368330576835</v>
      </c>
      <c r="AB66" s="8">
        <f t="shared" si="7"/>
        <v>11963.368330576835</v>
      </c>
    </row>
    <row r="67" spans="1:28" x14ac:dyDescent="0.25">
      <c r="A67" s="1">
        <v>44621</v>
      </c>
      <c r="B67" s="8">
        <f t="shared" si="6"/>
        <v>11963.368330576835</v>
      </c>
      <c r="C67" s="8">
        <f t="shared" si="1"/>
        <v>11915.514857254528</v>
      </c>
      <c r="F67" s="2">
        <f>IF(E67&gt;0,E67*6.2898*$E$2/Oljepris!D66,F66-F66*$F$2)</f>
        <v>1407.7463842971038</v>
      </c>
      <c r="H67" s="2">
        <f>IF(G67&gt;0,G67*6.2898*$G$2/Oljepris!D66,H66-H66*$H$2)</f>
        <v>991.28784337758793</v>
      </c>
      <c r="J67" s="2">
        <f>IF(I67&gt;0,I67/0.2*6.2898*I$2/Oljepris!$D66,J66-J66*J$2)</f>
        <v>151.35937634437465</v>
      </c>
      <c r="L67" s="2">
        <f>IF(K67&gt;0,K67*6.2898*K$2/Oljepris!$D66,L66-L66*L$2)</f>
        <v>1063.5364513268637</v>
      </c>
      <c r="N67" s="2">
        <f>IF(M67&gt;0,M67*6.2898*M$2/Oljepris!$D66,N66-N66*N$2)</f>
        <v>929.54395819795582</v>
      </c>
      <c r="P67" s="2">
        <f>IF(O67&gt;0,O67*6.2898*O$2/Oljepris!$D66,P66-P66*P$2)</f>
        <v>450.30090298215669</v>
      </c>
      <c r="R67" s="2">
        <f>IF(Q67&gt;0,Q67*6.2898*Q$2/Oljepris!$D66,R66-R66*R$2)</f>
        <v>2402.1210613012909</v>
      </c>
      <c r="T67" s="2">
        <f>IF(S67&gt;0,S67*6.2898*S$2/Oljepris!$D66,T66-T66*T$2)</f>
        <v>2103.6091880760955</v>
      </c>
      <c r="V67" s="2">
        <f>IF(U67&gt;0,U67/0.18*6.2898*U$2/Oljepris!$D66,V66-V66*V$2)</f>
        <v>574.53974626264585</v>
      </c>
      <c r="X67" s="2">
        <f>IF(W67&gt;0,W67*6.2898*W$2/Oljepris!$D66,X66-X66*X$2)</f>
        <v>1716.5120434768728</v>
      </c>
      <c r="Z67" s="2">
        <f>IF(Y67&gt;0,Y67*6.2898*Y$2/Oljepris!$D66,Z66-Z66*Z$2)</f>
        <v>7.5799403853659279E-7</v>
      </c>
      <c r="AA67" s="2">
        <f t="shared" si="4"/>
        <v>11790.556956400942</v>
      </c>
      <c r="AB67" s="8">
        <f t="shared" si="7"/>
        <v>11790.556956400942</v>
      </c>
    </row>
    <row r="68" spans="1:28" x14ac:dyDescent="0.25">
      <c r="A68" s="1">
        <v>44652</v>
      </c>
      <c r="B68" s="8">
        <f t="shared" si="6"/>
        <v>11790.556956400942</v>
      </c>
      <c r="C68" s="8">
        <f t="shared" si="1"/>
        <v>11743.394728575338</v>
      </c>
      <c r="F68" s="2">
        <f>IF(E68&gt;0,E68*6.2898*$E$2/Oljepris!D67,F67-F67*$F$2)</f>
        <v>1421.8238481400747</v>
      </c>
      <c r="H68" s="2">
        <f>IF(G68&gt;0,G68*6.2898*$G$2/Oljepris!D67,H67-H67*$H$2)</f>
        <v>981.37496494381207</v>
      </c>
      <c r="J68" s="2">
        <f>IF(I68&gt;0,I68/0.2*6.2898*I$2/Oljepris!$D67,J67-J67*J$2)</f>
        <v>149.84578258093092</v>
      </c>
      <c r="L68" s="2">
        <f>IF(K68&gt;0,K68*6.2898*K$2/Oljepris!$D67,L67-L67*L$2)</f>
        <v>1052.9010868135952</v>
      </c>
      <c r="N68" s="2">
        <f>IF(M68&gt;0,M68*6.2898*M$2/Oljepris!$D67,N67-N67*N$2)</f>
        <v>901.65763945201718</v>
      </c>
      <c r="P68" s="2">
        <f>IF(O68&gt;0,O68*6.2898*O$2/Oljepris!$D67,P67-P67*P$2)</f>
        <v>443.54638943742435</v>
      </c>
      <c r="R68" s="2">
        <f>IF(Q68&gt;0,Q68*6.2898*Q$2/Oljepris!$D67,R67-R67*R$2)</f>
        <v>2306.036218849239</v>
      </c>
      <c r="T68" s="2">
        <f>IF(S68&gt;0,S68*6.2898*S$2/Oljepris!$D67,T67-T67*T$2)</f>
        <v>2082.5730961953345</v>
      </c>
      <c r="V68" s="2">
        <f>IF(U68&gt;0,U68/0.18*6.2898*U$2/Oljepris!$D67,V67-V67*V$2)</f>
        <v>568.79434880001941</v>
      </c>
      <c r="X68" s="2">
        <f>IF(W68&gt;0,W68*6.2898*W$2/Oljepris!$D67,X67-X67*X$2)</f>
        <v>1714.795531433396</v>
      </c>
      <c r="Z68" s="2">
        <f>IF(Y68&gt;0,Y68*6.2898*Y$2/Oljepris!$D67,Z67-Z67*Z$2)</f>
        <v>7.5041409815122688E-7</v>
      </c>
      <c r="AA68" s="2">
        <f t="shared" si="4"/>
        <v>11623.348907396257</v>
      </c>
      <c r="AB68" s="8">
        <f t="shared" si="7"/>
        <v>11623.348907396259</v>
      </c>
    </row>
    <row r="69" spans="1:28" x14ac:dyDescent="0.25">
      <c r="A69" s="1">
        <v>44682</v>
      </c>
      <c r="B69" s="8">
        <f t="shared" si="6"/>
        <v>11623.348907396257</v>
      </c>
      <c r="C69" s="8">
        <f t="shared" si="1"/>
        <v>11576.855511766673</v>
      </c>
      <c r="F69" s="2">
        <f>IF(E69&gt;0,E69*6.2898*$E$2/Oljepris!D68,F68-F68*$F$2)</f>
        <v>1436.0420866214754</v>
      </c>
      <c r="H69" s="2">
        <f>IF(G69&gt;0,G69*6.2898*$G$2/Oljepris!D68,H68-H68*$H$2)</f>
        <v>971.56121529437394</v>
      </c>
      <c r="J69" s="2">
        <f>IF(I69&gt;0,I69/0.2*6.2898*I$2/Oljepris!$D68,J68-J68*J$2)</f>
        <v>148.3473247551216</v>
      </c>
      <c r="L69" s="2">
        <f>IF(K69&gt;0,K69*6.2898*K$2/Oljepris!$D68,L68-L68*L$2)</f>
        <v>1042.3720759454593</v>
      </c>
      <c r="N69" s="2">
        <f>IF(M69&gt;0,M69*6.2898*M$2/Oljepris!$D68,N68-N68*N$2)</f>
        <v>874.60791026845664</v>
      </c>
      <c r="P69" s="2">
        <f>IF(O69&gt;0,O69*6.2898*O$2/Oljepris!$D68,P68-P68*P$2)</f>
        <v>436.89319359586301</v>
      </c>
      <c r="R69" s="2">
        <f>IF(Q69&gt;0,Q69*6.2898*Q$2/Oljepris!$D68,R68-R68*R$2)</f>
        <v>2213.7947700952695</v>
      </c>
      <c r="T69" s="2">
        <f>IF(S69&gt;0,S69*6.2898*S$2/Oljepris!$D68,T68-T68*T$2)</f>
        <v>2061.7473652333811</v>
      </c>
      <c r="V69" s="2">
        <f>IF(U69&gt;0,U69/0.18*6.2898*U$2/Oljepris!$D68,V68-V68*V$2)</f>
        <v>563.10640531201921</v>
      </c>
      <c r="X69" s="2">
        <f>IF(W69&gt;0,W69*6.2898*W$2/Oljepris!$D68,X68-X68*X$2)</f>
        <v>1713.0807359019627</v>
      </c>
      <c r="Z69" s="2">
        <f>IF(Y69&gt;0,Y69*6.2898*Y$2/Oljepris!$D68,Z68-Z68*Z$2)</f>
        <v>7.4290995716971462E-7</v>
      </c>
      <c r="AA69" s="2">
        <f t="shared" si="4"/>
        <v>11461.553083766292</v>
      </c>
      <c r="AB69" s="8">
        <f t="shared" si="7"/>
        <v>11461.553083766294</v>
      </c>
    </row>
    <row r="70" spans="1:28" x14ac:dyDescent="0.25">
      <c r="A70" s="1">
        <v>44713</v>
      </c>
      <c r="B70" s="8">
        <f t="shared" si="6"/>
        <v>11461.553083766292</v>
      </c>
      <c r="C70" s="8">
        <f t="shared" ref="C70:C76" si="8">B70-(B70*$C$1)</f>
        <v>11415.706871431226</v>
      </c>
      <c r="F70" s="2">
        <f>IF(E70&gt;0,E70*6.2898*$E$2/Oljepris!D69,F69-F69*$F$2)</f>
        <v>1450.4025074876902</v>
      </c>
      <c r="H70" s="2">
        <f>IF(G70&gt;0,G70*6.2898*$G$2/Oljepris!D69,H69-H69*$H$2)</f>
        <v>961.84560314143016</v>
      </c>
      <c r="J70" s="2">
        <f>IF(I70&gt;0,I70/0.2*6.2898*I$2/Oljepris!$D69,J69-J69*J$2)</f>
        <v>146.86385150757039</v>
      </c>
      <c r="L70" s="2">
        <f>IF(K70&gt;0,K70*6.2898*K$2/Oljepris!$D69,L69-L69*L$2)</f>
        <v>1031.9483551860046</v>
      </c>
      <c r="N70" s="2">
        <f>IF(M70&gt;0,M70*6.2898*M$2/Oljepris!$D69,N69-N69*N$2)</f>
        <v>848.36967296040291</v>
      </c>
      <c r="P70" s="2">
        <f>IF(O70&gt;0,O70*6.2898*O$2/Oljepris!$D69,P69-P69*P$2)</f>
        <v>430.33979569192508</v>
      </c>
      <c r="R70" s="2">
        <f>IF(Q70&gt;0,Q70*6.2898*Q$2/Oljepris!$D69,R69-R69*R$2)</f>
        <v>2125.2429792914586</v>
      </c>
      <c r="T70" s="2">
        <f>IF(S70&gt;0,S70*6.2898*S$2/Oljepris!$D69,T69-T69*T$2)</f>
        <v>2041.1298915810473</v>
      </c>
      <c r="V70" s="2">
        <f>IF(U70&gt;0,U70/0.18*6.2898*U$2/Oljepris!$D69,V69-V69*V$2)</f>
        <v>557.47534125889899</v>
      </c>
      <c r="X70" s="2">
        <f>IF(W70&gt;0,W70*6.2898*W$2/Oljepris!$D69,X69-X69*X$2)</f>
        <v>1711.3676551660608</v>
      </c>
      <c r="Z70" s="2">
        <f>IF(Y70&gt;0,Y70*6.2898*Y$2/Oljepris!$D69,Z69-Z69*Z$2)</f>
        <v>7.3548085759801744E-7</v>
      </c>
      <c r="AA70" s="2">
        <f t="shared" si="4"/>
        <v>11304.985654007969</v>
      </c>
      <c r="AB70" s="8">
        <f t="shared" si="7"/>
        <v>11304.985654007971</v>
      </c>
    </row>
    <row r="71" spans="1:28" x14ac:dyDescent="0.25">
      <c r="A71" s="1">
        <v>44743</v>
      </c>
      <c r="B71" s="8">
        <f t="shared" si="6"/>
        <v>11304.985654007969</v>
      </c>
      <c r="C71" s="8">
        <f t="shared" si="8"/>
        <v>11259.765711391938</v>
      </c>
      <c r="F71" s="2">
        <f>IF(E71&gt;0,E71*6.2898*$E$2/Oljepris!D70,F70-F70*$F$2)</f>
        <v>1464.906532562567</v>
      </c>
      <c r="H71" s="2">
        <f>IF(G71&gt;0,G71*6.2898*$G$2/Oljepris!D70,H70-H70*$H$2)</f>
        <v>952.22714711001584</v>
      </c>
      <c r="J71" s="2">
        <f>IF(I71&gt;0,I71/0.2*6.2898*I$2/Oljepris!$D70,J70-J70*J$2)</f>
        <v>145.39521299249469</v>
      </c>
      <c r="L71" s="2">
        <f>IF(K71&gt;0,K71*6.2898*K$2/Oljepris!$D70,L70-L70*L$2)</f>
        <v>1021.6288716341446</v>
      </c>
      <c r="N71" s="2">
        <f>IF(M71&gt;0,M71*6.2898*M$2/Oljepris!$D70,N70-N70*N$2)</f>
        <v>822.91858277159088</v>
      </c>
      <c r="P71" s="2">
        <f>IF(O71&gt;0,O71*6.2898*O$2/Oljepris!$D70,P70-P70*P$2)</f>
        <v>423.88469875654619</v>
      </c>
      <c r="R71" s="2">
        <f>IF(Q71&gt;0,Q71*6.2898*Q$2/Oljepris!$D70,R70-R70*R$2)</f>
        <v>2040.2332601198002</v>
      </c>
      <c r="T71" s="2">
        <f>IF(S71&gt;0,S71*6.2898*S$2/Oljepris!$D70,T70-T70*T$2)</f>
        <v>2020.7185926652369</v>
      </c>
      <c r="V71" s="2">
        <f>IF(U71&gt;0,U71/0.18*6.2898*U$2/Oljepris!$D70,V70-V70*V$2)</f>
        <v>551.90058784631003</v>
      </c>
      <c r="X71" s="2">
        <f>IF(W71&gt;0,W71*6.2898*W$2/Oljepris!$D70,X70-X70*X$2)</f>
        <v>1709.6562875108948</v>
      </c>
      <c r="Z71" s="2">
        <f>IF(Y71&gt;0,Y71*6.2898*Y$2/Oljepris!$D70,Z70-Z70*Z$2)</f>
        <v>7.2812604902203727E-7</v>
      </c>
      <c r="AA71" s="2">
        <f t="shared" si="4"/>
        <v>11153.469774697727</v>
      </c>
      <c r="AB71" s="8">
        <f t="shared" si="7"/>
        <v>11153.469774697729</v>
      </c>
    </row>
    <row r="72" spans="1:28" x14ac:dyDescent="0.25">
      <c r="A72" s="1">
        <v>44774</v>
      </c>
      <c r="B72" s="8">
        <f t="shared" si="6"/>
        <v>11153.469774697727</v>
      </c>
      <c r="C72" s="8">
        <f t="shared" si="8"/>
        <v>11108.855895598936</v>
      </c>
      <c r="F72" s="2">
        <f>IF(E72&gt;0,E72*6.2898*$E$2/Oljepris!D71,F71-F71*$F$2)</f>
        <v>1479.5555978881928</v>
      </c>
      <c r="H72" s="2">
        <f>IF(G72&gt;0,G72*6.2898*$G$2/Oljepris!D71,H71-H71*$H$2)</f>
        <v>942.70487563891572</v>
      </c>
      <c r="J72" s="2">
        <f>IF(I72&gt;0,I72/0.2*6.2898*I$2/Oljepris!$D71,J71-J71*J$2)</f>
        <v>143.94126086256975</v>
      </c>
      <c r="L72" s="2">
        <f>IF(K72&gt;0,K72*6.2898*K$2/Oljepris!$D71,L71-L71*L$2)</f>
        <v>1011.4125829178032</v>
      </c>
      <c r="N72" s="2">
        <f>IF(M72&gt;0,M72*6.2898*M$2/Oljepris!$D71,N71-N71*N$2)</f>
        <v>798.23102528844311</v>
      </c>
      <c r="P72" s="2">
        <f>IF(O72&gt;0,O72*6.2898*O$2/Oljepris!$D71,P71-P71*P$2)</f>
        <v>417.52642827519799</v>
      </c>
      <c r="R72" s="2">
        <f>IF(Q72&gt;0,Q72*6.2898*Q$2/Oljepris!$D71,R71-R71*R$2)</f>
        <v>1958.6239297150082</v>
      </c>
      <c r="T72" s="2">
        <f>IF(S72&gt;0,S72*6.2898*S$2/Oljepris!$D71,T71-T71*T$2)</f>
        <v>2000.5114067385846</v>
      </c>
      <c r="V72" s="2">
        <f>IF(U72&gt;0,U72/0.18*6.2898*U$2/Oljepris!$D71,V71-V71*V$2)</f>
        <v>546.38158196784696</v>
      </c>
      <c r="X72" s="2">
        <f>IF(W72&gt;0,W72*6.2898*W$2/Oljepris!$D71,X71-X71*X$2)</f>
        <v>1707.946631223384</v>
      </c>
      <c r="Z72" s="2">
        <f>IF(Y72&gt;0,Y72*6.2898*Y$2/Oljepris!$D71,Z71-Z71*Z$2)</f>
        <v>7.2084478853181693E-7</v>
      </c>
      <c r="AA72" s="2">
        <f t="shared" si="4"/>
        <v>11006.835321236791</v>
      </c>
      <c r="AB72" s="8">
        <f t="shared" si="7"/>
        <v>11006.835321236791</v>
      </c>
    </row>
    <row r="73" spans="1:28" x14ac:dyDescent="0.25">
      <c r="A73" s="1">
        <v>44805</v>
      </c>
      <c r="B73" s="8">
        <f t="shared" si="6"/>
        <v>11006.835321236791</v>
      </c>
      <c r="C73" s="8">
        <f t="shared" si="8"/>
        <v>10962.807979951844</v>
      </c>
      <c r="F73" s="2">
        <f>IF(E73&gt;0,E73*6.2898*$E$2/Oljepris!D72,F72-F72*$F$2)</f>
        <v>1494.3511538670748</v>
      </c>
      <c r="H73" s="2">
        <f>IF(G73&gt;0,G73*6.2898*$G$2/Oljepris!D72,H72-H72*$H$2)</f>
        <v>933.2778268825266</v>
      </c>
      <c r="J73" s="2">
        <f>IF(I73&gt;0,I73/0.2*6.2898*I$2/Oljepris!$D72,J72-J72*J$2)</f>
        <v>142.50184825394405</v>
      </c>
      <c r="L73" s="2">
        <f>IF(K73&gt;0,K73*6.2898*K$2/Oljepris!$D72,L72-L72*L$2)</f>
        <v>1001.2984570886251</v>
      </c>
      <c r="N73" s="2">
        <f>IF(M73&gt;0,M73*6.2898*M$2/Oljepris!$D72,N72-N72*N$2)</f>
        <v>774.28409452978985</v>
      </c>
      <c r="P73" s="2">
        <f>IF(O73&gt;0,O73*6.2898*O$2/Oljepris!$D72,P72-P72*P$2)</f>
        <v>411.26353185107001</v>
      </c>
      <c r="R73" s="2">
        <f>IF(Q73&gt;0,Q73*6.2898*Q$2/Oljepris!$D72,R72-R72*R$2)</f>
        <v>1880.2789725264079</v>
      </c>
      <c r="T73" s="2">
        <f>IF(S73&gt;0,S73*6.2898*S$2/Oljepris!$D72,T72-T72*T$2)</f>
        <v>1980.5062926711987</v>
      </c>
      <c r="V73" s="2">
        <f>IF(U73&gt;0,U73/0.18*6.2898*U$2/Oljepris!$D72,V72-V72*V$2)</f>
        <v>540.91776614816854</v>
      </c>
      <c r="X73" s="2">
        <f>IF(W73&gt;0,W73*6.2898*W$2/Oljepris!$D72,X72-X72*X$2)</f>
        <v>1706.2386845921606</v>
      </c>
      <c r="Z73" s="2">
        <f>IF(Y73&gt;0,Y73*6.2898*Y$2/Oljepris!$D72,Z72-Z72*Z$2)</f>
        <v>7.1363634064649878E-7</v>
      </c>
      <c r="AA73" s="2">
        <f t="shared" si="4"/>
        <v>10864.918629124602</v>
      </c>
      <c r="AB73" s="8">
        <f t="shared" si="7"/>
        <v>10864.918629124602</v>
      </c>
    </row>
    <row r="74" spans="1:28" x14ac:dyDescent="0.25">
      <c r="A74" s="1">
        <v>44835</v>
      </c>
      <c r="B74" s="8">
        <f t="shared" si="6"/>
        <v>10864.918629124602</v>
      </c>
      <c r="C74" s="8">
        <f t="shared" si="8"/>
        <v>10821.458954608104</v>
      </c>
      <c r="F74" s="2">
        <f>IF(E74&gt;0,E74*6.2898*$E$2/Oljepris!D73,F73-F73*$F$2)</f>
        <v>1509.2946654057455</v>
      </c>
      <c r="H74" s="2">
        <f>IF(G74&gt;0,G74*6.2898*$G$2/Oljepris!D73,H73-H73*$H$2)</f>
        <v>923.94504861370137</v>
      </c>
      <c r="J74" s="2">
        <f>IF(I74&gt;0,I74/0.2*6.2898*I$2/Oljepris!$D73,J73-J73*J$2)</f>
        <v>141.07682977140462</v>
      </c>
      <c r="L74" s="2">
        <f>IF(K74&gt;0,K74*6.2898*K$2/Oljepris!$D73,L73-L73*L$2)</f>
        <v>991.28547251773887</v>
      </c>
      <c r="N74" s="2">
        <f>IF(M74&gt;0,M74*6.2898*M$2/Oljepris!$D73,N73-N73*N$2)</f>
        <v>751.05557169389613</v>
      </c>
      <c r="P74" s="2">
        <f>IF(O74&gt;0,O74*6.2898*O$2/Oljepris!$D73,P73-P73*P$2)</f>
        <v>405.09457887330399</v>
      </c>
      <c r="R74" s="2">
        <f>IF(Q74&gt;0,Q74*6.2898*Q$2/Oljepris!$D73,R73-R73*R$2)</f>
        <v>1805.0678136253516</v>
      </c>
      <c r="T74" s="2">
        <f>IF(S74&gt;0,S74*6.2898*S$2/Oljepris!$D73,T73-T73*T$2)</f>
        <v>1960.7012297444867</v>
      </c>
      <c r="V74" s="2">
        <f>IF(U74&gt;0,U74/0.18*6.2898*U$2/Oljepris!$D73,V73-V73*V$2)</f>
        <v>535.5085884866869</v>
      </c>
      <c r="X74" s="2">
        <f>IF(W74&gt;0,W74*6.2898*W$2/Oljepris!$D73,X73-X73*X$2)</f>
        <v>1704.5324459075684</v>
      </c>
      <c r="Z74" s="2">
        <f>IF(Y74&gt;0,Y74*6.2898*Y$2/Oljepris!$D73,Z73-Z73*Z$2)</f>
        <v>7.0649997724003384E-7</v>
      </c>
      <c r="AA74" s="2">
        <f t="shared" si="4"/>
        <v>10727.562245346384</v>
      </c>
      <c r="AB74" s="8">
        <f t="shared" si="7"/>
        <v>10727.562245346386</v>
      </c>
    </row>
    <row r="75" spans="1:28" x14ac:dyDescent="0.25">
      <c r="A75" s="1">
        <v>44866</v>
      </c>
      <c r="B75" s="8">
        <f t="shared" si="6"/>
        <v>10727.562245346384</v>
      </c>
      <c r="C75" s="8">
        <f t="shared" si="8"/>
        <v>10684.651996364999</v>
      </c>
      <c r="F75" s="2">
        <f>IF(E75&gt;0,E75*6.2898*$E$2/Oljepris!D74,F74-F74*$F$2)</f>
        <v>1524.3876120598029</v>
      </c>
      <c r="H75" s="2">
        <f>IF(G75&gt;0,G75*6.2898*$G$2/Oljepris!D74,H74-H74*$H$2)</f>
        <v>914.70559812756437</v>
      </c>
      <c r="J75" s="2">
        <f>IF(I75&gt;0,I75/0.2*6.2898*I$2/Oljepris!$D74,J74-J74*J$2)</f>
        <v>139.66606147369058</v>
      </c>
      <c r="L75" s="2">
        <f>IF(K75&gt;0,K75*6.2898*K$2/Oljepris!$D74,L74-L74*L$2)</f>
        <v>981.37261779256153</v>
      </c>
      <c r="N75" s="2">
        <f>IF(M75&gt;0,M75*6.2898*M$2/Oljepris!$D74,N74-N74*N$2)</f>
        <v>728.5239045430792</v>
      </c>
      <c r="P75" s="2">
        <f>IF(O75&gt;0,O75*6.2898*O$2/Oljepris!$D74,P74-P74*P$2)</f>
        <v>399.01816019020441</v>
      </c>
      <c r="R75" s="2">
        <f>IF(Q75&gt;0,Q75*6.2898*Q$2/Oljepris!$D74,R74-R74*R$2)</f>
        <v>1732.8651010803376</v>
      </c>
      <c r="T75" s="2">
        <f>IF(S75&gt;0,S75*6.2898*S$2/Oljepris!$D74,T74-T74*T$2)</f>
        <v>1941.0942174470417</v>
      </c>
      <c r="V75" s="2">
        <f>IF(U75&gt;0,U75/0.18*6.2898*U$2/Oljepris!$D74,V74-V74*V$2)</f>
        <v>530.15350260182004</v>
      </c>
      <c r="X75" s="2">
        <f>IF(W75&gt;0,W75*6.2898*W$2/Oljepris!$D74,X74-X74*X$2)</f>
        <v>1702.827913461661</v>
      </c>
      <c r="Z75" s="2">
        <f>IF(Y75&gt;0,Y75*6.2898*Y$2/Oljepris!$D74,Z74-Z74*Z$2)</f>
        <v>6.9943497746763351E-7</v>
      </c>
      <c r="AA75" s="2">
        <f t="shared" si="4"/>
        <v>10594.614689477199</v>
      </c>
      <c r="AB75" s="8">
        <f t="shared" si="7"/>
        <v>10594.614689477195</v>
      </c>
    </row>
    <row r="76" spans="1:28" x14ac:dyDescent="0.25">
      <c r="A76" s="1">
        <v>44896</v>
      </c>
      <c r="B76" s="8">
        <f t="shared" si="6"/>
        <v>10594.614689477199</v>
      </c>
      <c r="C76" s="8">
        <f t="shared" si="8"/>
        <v>10552.236230719291</v>
      </c>
      <c r="F76" s="2">
        <f>IF(E76&gt;0,E76*6.2898*$E$2/Oljepris!D75,F75-F75*$F$2)</f>
        <v>1539.631488180401</v>
      </c>
      <c r="H76" s="2">
        <f>IF(G76&gt;0,G76*6.2898*$G$2/Oljepris!D75,H75-H75*$H$2)</f>
        <v>905.55854214628869</v>
      </c>
      <c r="J76" s="2">
        <f>IF(I76&gt;0,I76/0.2*6.2898*I$2/Oljepris!$D75,J75-J75*J$2)</f>
        <v>138.26940085895367</v>
      </c>
      <c r="L76" s="2">
        <f>IF(K76&gt;0,K76*6.2898*K$2/Oljepris!$D75,L75-L75*L$2)</f>
        <v>971.55889161463597</v>
      </c>
      <c r="N76" s="2">
        <f>IF(M76&gt;0,M76*6.2898*M$2/Oljepris!$D75,N75-N75*N$2)</f>
        <v>706.66818740678684</v>
      </c>
      <c r="P76" s="2">
        <f>IF(O76&gt;0,O76*6.2898*O$2/Oljepris!$D75,P75-P75*P$2)</f>
        <v>393.03288778735134</v>
      </c>
      <c r="R76" s="2">
        <f>IF(Q76&gt;0,Q76*6.2898*Q$2/Oljepris!$D75,R75-R75*R$2)</f>
        <v>1663.5504970371242</v>
      </c>
      <c r="T76" s="2">
        <f>IF(S76&gt;0,S76*6.2898*S$2/Oljepris!$D75,T75-T75*T$2)</f>
        <v>1921.6832752725713</v>
      </c>
      <c r="V76" s="2">
        <f>IF(U76&gt;0,U76/0.18*6.2898*U$2/Oljepris!$D75,V75-V75*V$2)</f>
        <v>524.85196757580184</v>
      </c>
      <c r="X76" s="2">
        <f>IF(W76&gt;0,W76*6.2898*W$2/Oljepris!$D75,X75-X75*X$2)</f>
        <v>1701.1250855481992</v>
      </c>
      <c r="Z76" s="2">
        <f>IF(Y76&gt;0,Y76*6.2898*Y$2/Oljepris!$D75,Z75-Z75*Z$2)</f>
        <v>6.9244062769295715E-7</v>
      </c>
      <c r="AA76" s="2">
        <f t="shared" si="4"/>
        <v>10465.930224120555</v>
      </c>
      <c r="AB76" s="8">
        <f t="shared" si="7"/>
        <v>10465.930224120555</v>
      </c>
    </row>
  </sheetData>
  <mergeCells count="11">
    <mergeCell ref="Y1:Z1"/>
    <mergeCell ref="E1:F1"/>
    <mergeCell ref="G1:H1"/>
    <mergeCell ref="W1:X1"/>
    <mergeCell ref="I1:J1"/>
    <mergeCell ref="K1:L1"/>
    <mergeCell ref="M1:N1"/>
    <mergeCell ref="O1:P1"/>
    <mergeCell ref="Q1:R1"/>
    <mergeCell ref="S1:T1"/>
    <mergeCell ref="U1:V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2F965-99CC-4AFA-AB64-10FEB3EB8FEA}">
  <dimension ref="A1"/>
  <sheetViews>
    <sheetView workbookViewId="0">
      <selection activeCell="A37" sqref="A37"/>
    </sheetView>
  </sheetViews>
  <sheetFormatPr defaultRowHeight="15" x14ac:dyDescent="0.25"/>
  <sheetData>
    <row r="1" spans="1:1" ht="18.75" x14ac:dyDescent="0.3">
      <c r="A1" s="31" t="s">
        <v>216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060"/>
  <sheetViews>
    <sheetView topLeftCell="A1025" workbookViewId="0">
      <selection activeCell="A1038" sqref="A1038:B1060"/>
    </sheetView>
  </sheetViews>
  <sheetFormatPr defaultRowHeight="15" x14ac:dyDescent="0.25"/>
  <cols>
    <col min="1" max="1" width="15.5703125" customWidth="1"/>
  </cols>
  <sheetData>
    <row r="1" spans="1:2" x14ac:dyDescent="0.25">
      <c r="A1" t="s">
        <v>47</v>
      </c>
    </row>
    <row r="3" spans="1:2" x14ac:dyDescent="0.25">
      <c r="A3" t="s">
        <v>61</v>
      </c>
    </row>
    <row r="5" spans="1:2" x14ac:dyDescent="0.25">
      <c r="A5" s="20">
        <v>42737</v>
      </c>
      <c r="B5" s="21">
        <v>8.7899999999999991</v>
      </c>
    </row>
    <row r="6" spans="1:2" x14ac:dyDescent="0.25">
      <c r="A6" s="20">
        <v>42738</v>
      </c>
      <c r="B6" s="21">
        <v>9.1</v>
      </c>
    </row>
    <row r="7" spans="1:2" x14ac:dyDescent="0.25">
      <c r="A7" s="20">
        <v>42739</v>
      </c>
      <c r="B7" s="21">
        <v>8.98</v>
      </c>
    </row>
    <row r="8" spans="1:2" x14ac:dyDescent="0.25">
      <c r="A8" s="20">
        <v>42740</v>
      </c>
      <c r="B8" s="21">
        <v>9.0050000000000008</v>
      </c>
    </row>
    <row r="9" spans="1:2" x14ac:dyDescent="0.25">
      <c r="A9" s="20">
        <v>42741</v>
      </c>
      <c r="B9" s="21">
        <v>8.8550000000000004</v>
      </c>
    </row>
    <row r="10" spans="1:2" x14ac:dyDescent="0.25">
      <c r="A10" s="20">
        <v>42744</v>
      </c>
      <c r="B10" s="21">
        <v>9.125</v>
      </c>
    </row>
    <row r="11" spans="1:2" x14ac:dyDescent="0.25">
      <c r="A11" s="20">
        <v>42745</v>
      </c>
      <c r="B11" s="21">
        <v>9.3450000000000006</v>
      </c>
    </row>
    <row r="12" spans="1:2" x14ac:dyDescent="0.25">
      <c r="A12" s="20">
        <v>42746</v>
      </c>
      <c r="B12" s="21">
        <v>9.2899999999999991</v>
      </c>
    </row>
    <row r="13" spans="1:2" x14ac:dyDescent="0.25">
      <c r="A13" s="20">
        <v>42747</v>
      </c>
      <c r="B13" s="21">
        <v>9.4350000000000005</v>
      </c>
    </row>
    <row r="14" spans="1:2" x14ac:dyDescent="0.25">
      <c r="A14" s="20">
        <v>42748</v>
      </c>
      <c r="B14" s="21">
        <v>9.44</v>
      </c>
    </row>
    <row r="15" spans="1:2" x14ac:dyDescent="0.25">
      <c r="A15" s="20">
        <v>42751</v>
      </c>
      <c r="B15" s="21">
        <v>9.18</v>
      </c>
    </row>
    <row r="16" spans="1:2" x14ac:dyDescent="0.25">
      <c r="A16" s="20">
        <v>42752</v>
      </c>
      <c r="B16" s="21">
        <v>9.2050000000000001</v>
      </c>
    </row>
    <row r="17" spans="1:2" x14ac:dyDescent="0.25">
      <c r="A17" s="20">
        <v>42753</v>
      </c>
      <c r="B17" s="21">
        <v>9.1549999999999994</v>
      </c>
    </row>
    <row r="18" spans="1:2" x14ac:dyDescent="0.25">
      <c r="A18" s="20">
        <v>42754</v>
      </c>
      <c r="B18" s="21">
        <v>8.9700000000000006</v>
      </c>
    </row>
    <row r="19" spans="1:2" x14ac:dyDescent="0.25">
      <c r="A19" s="20">
        <v>42755</v>
      </c>
      <c r="B19" s="21">
        <v>9.19</v>
      </c>
    </row>
    <row r="20" spans="1:2" x14ac:dyDescent="0.25">
      <c r="A20" s="20">
        <v>42758</v>
      </c>
      <c r="B20" s="21">
        <v>9.2200000000000006</v>
      </c>
    </row>
    <row r="21" spans="1:2" x14ac:dyDescent="0.25">
      <c r="A21" s="20">
        <v>42759</v>
      </c>
      <c r="B21" s="21">
        <v>9.0749999999999993</v>
      </c>
    </row>
    <row r="22" spans="1:2" x14ac:dyDescent="0.25">
      <c r="A22" s="20">
        <v>42760</v>
      </c>
      <c r="B22" s="21">
        <v>9.0250000000000004</v>
      </c>
    </row>
    <row r="23" spans="1:2" x14ac:dyDescent="0.25">
      <c r="A23" s="20">
        <v>42761</v>
      </c>
      <c r="B23" s="21">
        <v>9.01</v>
      </c>
    </row>
    <row r="24" spans="1:2" x14ac:dyDescent="0.25">
      <c r="A24" s="20">
        <v>42762</v>
      </c>
      <c r="B24" s="21">
        <v>9.02</v>
      </c>
    </row>
    <row r="25" spans="1:2" x14ac:dyDescent="0.25">
      <c r="A25" s="20">
        <v>42765</v>
      </c>
      <c r="B25" s="21">
        <v>8.5500000000000007</v>
      </c>
    </row>
    <row r="26" spans="1:2" x14ac:dyDescent="0.25">
      <c r="A26" s="20">
        <v>42766</v>
      </c>
      <c r="B26" s="21">
        <v>8.61</v>
      </c>
    </row>
    <row r="27" spans="1:2" x14ac:dyDescent="0.25">
      <c r="A27" s="20">
        <v>42767</v>
      </c>
      <c r="B27" s="21">
        <v>8.7850000000000001</v>
      </c>
    </row>
    <row r="28" spans="1:2" x14ac:dyDescent="0.25">
      <c r="A28" s="20">
        <v>42768</v>
      </c>
      <c r="B28" s="21">
        <v>8.5549999999999997</v>
      </c>
    </row>
    <row r="29" spans="1:2" x14ac:dyDescent="0.25">
      <c r="A29" s="20">
        <v>42769</v>
      </c>
      <c r="B29" s="21">
        <v>8.73</v>
      </c>
    </row>
    <row r="30" spans="1:2" x14ac:dyDescent="0.25">
      <c r="A30" s="20">
        <v>42772</v>
      </c>
      <c r="B30" s="21">
        <v>8.6449999999999996</v>
      </c>
    </row>
    <row r="31" spans="1:2" x14ac:dyDescent="0.25">
      <c r="A31" s="20">
        <v>42773</v>
      </c>
      <c r="B31" s="21">
        <v>8.625</v>
      </c>
    </row>
    <row r="32" spans="1:2" x14ac:dyDescent="0.25">
      <c r="A32" s="20">
        <v>42774</v>
      </c>
      <c r="B32" s="21">
        <v>8.4</v>
      </c>
    </row>
    <row r="33" spans="1:2" x14ac:dyDescent="0.25">
      <c r="A33" s="20">
        <v>42775</v>
      </c>
      <c r="B33" s="21">
        <v>8.1449999999999996</v>
      </c>
    </row>
    <row r="34" spans="1:2" x14ac:dyDescent="0.25">
      <c r="A34" s="20">
        <v>42776</v>
      </c>
      <c r="B34" s="21">
        <v>8.33</v>
      </c>
    </row>
    <row r="35" spans="1:2" x14ac:dyDescent="0.25">
      <c r="A35" s="20">
        <v>42779</v>
      </c>
      <c r="B35" s="21">
        <v>8.24</v>
      </c>
    </row>
    <row r="36" spans="1:2" x14ac:dyDescent="0.25">
      <c r="A36" s="20">
        <v>42780</v>
      </c>
      <c r="B36" s="21">
        <v>8.2200000000000006</v>
      </c>
    </row>
    <row r="37" spans="1:2" x14ac:dyDescent="0.25">
      <c r="A37" s="20">
        <v>42781</v>
      </c>
      <c r="B37" s="21">
        <v>8.0250000000000004</v>
      </c>
    </row>
    <row r="38" spans="1:2" x14ac:dyDescent="0.25">
      <c r="A38" s="20">
        <v>42782</v>
      </c>
      <c r="B38" s="21">
        <v>7.9249999999999998</v>
      </c>
    </row>
    <row r="39" spans="1:2" x14ac:dyDescent="0.25">
      <c r="A39" s="20">
        <v>42783</v>
      </c>
      <c r="B39" s="21">
        <v>7.65</v>
      </c>
    </row>
    <row r="40" spans="1:2" x14ac:dyDescent="0.25">
      <c r="A40" s="20">
        <v>42786</v>
      </c>
      <c r="B40" s="21">
        <v>7.54</v>
      </c>
    </row>
    <row r="41" spans="1:2" x14ac:dyDescent="0.25">
      <c r="A41" s="20">
        <v>42787</v>
      </c>
      <c r="B41" s="21">
        <v>7.9950000000000001</v>
      </c>
    </row>
    <row r="42" spans="1:2" x14ac:dyDescent="0.25">
      <c r="A42" s="20">
        <v>42788</v>
      </c>
      <c r="B42" s="21">
        <v>7.8</v>
      </c>
    </row>
    <row r="43" spans="1:2" x14ac:dyDescent="0.25">
      <c r="A43" s="20">
        <v>42789</v>
      </c>
      <c r="B43" s="21">
        <v>7.92</v>
      </c>
    </row>
    <row r="44" spans="1:2" x14ac:dyDescent="0.25">
      <c r="A44" s="20">
        <v>42790</v>
      </c>
      <c r="B44" s="21">
        <v>7.72</v>
      </c>
    </row>
    <row r="45" spans="1:2" x14ac:dyDescent="0.25">
      <c r="A45" s="20">
        <v>42793</v>
      </c>
      <c r="B45" s="21">
        <v>7.7649999999999997</v>
      </c>
    </row>
    <row r="46" spans="1:2" x14ac:dyDescent="0.25">
      <c r="A46" s="20">
        <v>42794</v>
      </c>
      <c r="B46" s="21">
        <v>8.0150000000000006</v>
      </c>
    </row>
    <row r="47" spans="1:2" x14ac:dyDescent="0.25">
      <c r="A47" s="20">
        <v>42795</v>
      </c>
      <c r="B47" s="21">
        <v>8.16</v>
      </c>
    </row>
    <row r="48" spans="1:2" x14ac:dyDescent="0.25">
      <c r="A48" s="20">
        <v>42796</v>
      </c>
      <c r="B48" s="21">
        <v>7.64</v>
      </c>
    </row>
    <row r="49" spans="1:2" x14ac:dyDescent="0.25">
      <c r="A49" s="20">
        <v>42797</v>
      </c>
      <c r="B49" s="21">
        <v>7.67</v>
      </c>
    </row>
    <row r="50" spans="1:2" x14ac:dyDescent="0.25">
      <c r="A50" s="20">
        <v>42800</v>
      </c>
      <c r="B50" s="21">
        <v>7.49</v>
      </c>
    </row>
    <row r="51" spans="1:2" x14ac:dyDescent="0.25">
      <c r="A51" s="20">
        <v>42801</v>
      </c>
      <c r="B51" s="21">
        <v>7.92</v>
      </c>
    </row>
    <row r="52" spans="1:2" x14ac:dyDescent="0.25">
      <c r="A52" s="20">
        <v>42802</v>
      </c>
      <c r="B52" s="21">
        <v>7.7</v>
      </c>
    </row>
    <row r="53" spans="1:2" x14ac:dyDescent="0.25">
      <c r="A53" s="20">
        <v>42803</v>
      </c>
      <c r="B53" s="21">
        <v>7.41</v>
      </c>
    </row>
    <row r="54" spans="1:2" x14ac:dyDescent="0.25">
      <c r="A54" s="20">
        <v>42804</v>
      </c>
      <c r="B54" s="21">
        <v>7.65</v>
      </c>
    </row>
    <row r="55" spans="1:2" x14ac:dyDescent="0.25">
      <c r="A55" s="20">
        <v>42807</v>
      </c>
      <c r="B55" s="21">
        <v>7.49</v>
      </c>
    </row>
    <row r="56" spans="1:2" x14ac:dyDescent="0.25">
      <c r="A56" s="20">
        <v>42808</v>
      </c>
      <c r="B56" s="21">
        <v>7.22</v>
      </c>
    </row>
    <row r="57" spans="1:2" x14ac:dyDescent="0.25">
      <c r="A57" s="20">
        <v>42809</v>
      </c>
      <c r="B57" s="21">
        <v>7.43</v>
      </c>
    </row>
    <row r="58" spans="1:2" x14ac:dyDescent="0.25">
      <c r="A58" s="20">
        <v>42810</v>
      </c>
      <c r="B58" s="21">
        <v>7.27</v>
      </c>
    </row>
    <row r="59" spans="1:2" x14ac:dyDescent="0.25">
      <c r="A59" s="20">
        <v>42811</v>
      </c>
      <c r="B59" s="21">
        <v>7.165</v>
      </c>
    </row>
    <row r="60" spans="1:2" x14ac:dyDescent="0.25">
      <c r="A60" s="20">
        <v>42814</v>
      </c>
      <c r="B60" s="21">
        <v>7.15</v>
      </c>
    </row>
    <row r="61" spans="1:2" x14ac:dyDescent="0.25">
      <c r="A61" s="20">
        <v>42815</v>
      </c>
      <c r="B61" s="21">
        <v>7.1849999999999996</v>
      </c>
    </row>
    <row r="62" spans="1:2" x14ac:dyDescent="0.25">
      <c r="A62" s="20">
        <v>42816</v>
      </c>
      <c r="B62" s="21">
        <v>6.875</v>
      </c>
    </row>
    <row r="63" spans="1:2" x14ac:dyDescent="0.25">
      <c r="A63" s="20">
        <v>42817</v>
      </c>
      <c r="B63" s="21">
        <v>6.7750000000000004</v>
      </c>
    </row>
    <row r="64" spans="1:2" x14ac:dyDescent="0.25">
      <c r="A64" s="20">
        <v>42818</v>
      </c>
      <c r="B64" s="21">
        <v>6.9850000000000003</v>
      </c>
    </row>
    <row r="65" spans="1:2" x14ac:dyDescent="0.25">
      <c r="A65" s="20">
        <v>42821</v>
      </c>
      <c r="B65" s="21">
        <v>6.87</v>
      </c>
    </row>
    <row r="66" spans="1:2" x14ac:dyDescent="0.25">
      <c r="A66" s="20">
        <v>42822</v>
      </c>
      <c r="B66" s="21">
        <v>6.93</v>
      </c>
    </row>
    <row r="67" spans="1:2" x14ac:dyDescent="0.25">
      <c r="A67" s="20">
        <v>42823</v>
      </c>
      <c r="B67" s="21">
        <v>7.0650000000000004</v>
      </c>
    </row>
    <row r="68" spans="1:2" x14ac:dyDescent="0.25">
      <c r="A68" s="20">
        <v>42824</v>
      </c>
      <c r="B68" s="21">
        <v>7.32</v>
      </c>
    </row>
    <row r="69" spans="1:2" x14ac:dyDescent="0.25">
      <c r="A69" s="20">
        <v>42825</v>
      </c>
      <c r="B69" s="21">
        <v>7.23</v>
      </c>
    </row>
    <row r="70" spans="1:2" x14ac:dyDescent="0.25">
      <c r="A70" s="20">
        <v>42828</v>
      </c>
      <c r="B70" s="21">
        <v>7.27</v>
      </c>
    </row>
    <row r="71" spans="1:2" x14ac:dyDescent="0.25">
      <c r="A71" s="20">
        <v>42829</v>
      </c>
      <c r="B71" s="21">
        <v>7.25</v>
      </c>
    </row>
    <row r="72" spans="1:2" x14ac:dyDescent="0.25">
      <c r="A72" s="20">
        <v>42830</v>
      </c>
      <c r="B72" s="21">
        <v>7.44</v>
      </c>
    </row>
    <row r="73" spans="1:2" x14ac:dyDescent="0.25">
      <c r="A73" s="20">
        <v>42831</v>
      </c>
      <c r="B73" s="21">
        <v>7.2649999999999997</v>
      </c>
    </row>
    <row r="74" spans="1:2" x14ac:dyDescent="0.25">
      <c r="A74" s="20">
        <v>42832</v>
      </c>
      <c r="B74" s="21">
        <v>7.3150000000000004</v>
      </c>
    </row>
    <row r="75" spans="1:2" x14ac:dyDescent="0.25">
      <c r="A75" s="20">
        <v>42835</v>
      </c>
      <c r="B75" s="21">
        <v>7.375</v>
      </c>
    </row>
    <row r="76" spans="1:2" x14ac:dyDescent="0.25">
      <c r="A76" s="20">
        <v>42836</v>
      </c>
      <c r="B76" s="21">
        <v>7.34</v>
      </c>
    </row>
    <row r="77" spans="1:2" x14ac:dyDescent="0.25">
      <c r="A77" s="20">
        <v>42837</v>
      </c>
      <c r="B77" s="21">
        <v>7.6150000000000002</v>
      </c>
    </row>
    <row r="78" spans="1:2" x14ac:dyDescent="0.25">
      <c r="A78" s="20">
        <v>42843</v>
      </c>
      <c r="B78" s="21">
        <v>7.23</v>
      </c>
    </row>
    <row r="79" spans="1:2" x14ac:dyDescent="0.25">
      <c r="A79" s="20">
        <v>42844</v>
      </c>
      <c r="B79" s="21">
        <v>7.25</v>
      </c>
    </row>
    <row r="80" spans="1:2" x14ac:dyDescent="0.25">
      <c r="A80" s="20">
        <v>42845</v>
      </c>
      <c r="B80" s="21">
        <v>7.23</v>
      </c>
    </row>
    <row r="81" spans="1:2" x14ac:dyDescent="0.25">
      <c r="A81" s="20">
        <v>42846</v>
      </c>
      <c r="B81" s="21">
        <v>7.13</v>
      </c>
    </row>
    <row r="82" spans="1:2" x14ac:dyDescent="0.25">
      <c r="A82" s="20">
        <v>42849</v>
      </c>
      <c r="B82" s="21">
        <v>7.2249999999999996</v>
      </c>
    </row>
    <row r="83" spans="1:2" x14ac:dyDescent="0.25">
      <c r="A83" s="20">
        <v>42850</v>
      </c>
      <c r="B83" s="21">
        <v>7.2949999999999999</v>
      </c>
    </row>
    <row r="84" spans="1:2" x14ac:dyDescent="0.25">
      <c r="A84" s="20">
        <v>42851</v>
      </c>
      <c r="B84" s="21">
        <v>7.29</v>
      </c>
    </row>
    <row r="85" spans="1:2" x14ac:dyDescent="0.25">
      <c r="A85" s="20">
        <v>42852</v>
      </c>
      <c r="B85" s="21">
        <v>7.12</v>
      </c>
    </row>
    <row r="86" spans="1:2" x14ac:dyDescent="0.25">
      <c r="A86" s="20">
        <v>42853</v>
      </c>
      <c r="B86" s="21">
        <v>7.26</v>
      </c>
    </row>
    <row r="87" spans="1:2" x14ac:dyDescent="0.25">
      <c r="A87" s="20">
        <v>42857</v>
      </c>
      <c r="B87" s="21">
        <v>7.45</v>
      </c>
    </row>
    <row r="88" spans="1:2" x14ac:dyDescent="0.25">
      <c r="A88" s="20">
        <v>42858</v>
      </c>
      <c r="B88" s="21">
        <v>7.46</v>
      </c>
    </row>
    <row r="89" spans="1:2" x14ac:dyDescent="0.25">
      <c r="A89" s="20">
        <v>42859</v>
      </c>
      <c r="B89" s="21">
        <v>7.3550000000000004</v>
      </c>
    </row>
    <row r="90" spans="1:2" x14ac:dyDescent="0.25">
      <c r="A90" s="20">
        <v>42860</v>
      </c>
      <c r="B90" s="21">
        <v>7.585</v>
      </c>
    </row>
    <row r="91" spans="1:2" x14ac:dyDescent="0.25">
      <c r="A91" s="20">
        <v>42863</v>
      </c>
      <c r="B91" s="21">
        <v>7.74</v>
      </c>
    </row>
    <row r="92" spans="1:2" x14ac:dyDescent="0.25">
      <c r="A92" s="20">
        <v>42864</v>
      </c>
      <c r="B92" s="21">
        <v>7.7</v>
      </c>
    </row>
    <row r="93" spans="1:2" x14ac:dyDescent="0.25">
      <c r="A93" s="20">
        <v>42865</v>
      </c>
      <c r="B93" s="21">
        <v>7.88</v>
      </c>
    </row>
    <row r="94" spans="1:2" x14ac:dyDescent="0.25">
      <c r="A94" s="20">
        <v>42866</v>
      </c>
      <c r="B94" s="21">
        <v>7.75</v>
      </c>
    </row>
    <row r="95" spans="1:2" x14ac:dyDescent="0.25">
      <c r="A95" s="20">
        <v>42867</v>
      </c>
      <c r="B95" s="21">
        <v>7.75</v>
      </c>
    </row>
    <row r="96" spans="1:2" x14ac:dyDescent="0.25">
      <c r="A96" s="20">
        <v>42870</v>
      </c>
      <c r="B96" s="21">
        <v>7.78</v>
      </c>
    </row>
    <row r="97" spans="1:2" x14ac:dyDescent="0.25">
      <c r="A97" s="20">
        <v>42871</v>
      </c>
      <c r="B97" s="21">
        <v>8.1850000000000005</v>
      </c>
    </row>
    <row r="98" spans="1:2" x14ac:dyDescent="0.25">
      <c r="A98" s="20">
        <v>42873</v>
      </c>
      <c r="B98" s="21">
        <v>8.08</v>
      </c>
    </row>
    <row r="99" spans="1:2" x14ac:dyDescent="0.25">
      <c r="A99" s="20">
        <v>42874</v>
      </c>
      <c r="B99" s="21">
        <v>8.1999999999999993</v>
      </c>
    </row>
    <row r="100" spans="1:2" x14ac:dyDescent="0.25">
      <c r="A100" s="20">
        <v>42877</v>
      </c>
      <c r="B100" s="21">
        <v>8.25</v>
      </c>
    </row>
    <row r="101" spans="1:2" x14ac:dyDescent="0.25">
      <c r="A101" s="20">
        <v>42878</v>
      </c>
      <c r="B101" s="21">
        <v>8.2249999999999996</v>
      </c>
    </row>
    <row r="102" spans="1:2" x14ac:dyDescent="0.25">
      <c r="A102" s="20">
        <v>42879</v>
      </c>
      <c r="B102" s="21">
        <v>8.3249999999999993</v>
      </c>
    </row>
    <row r="103" spans="1:2" x14ac:dyDescent="0.25">
      <c r="A103" s="20">
        <v>42881</v>
      </c>
      <c r="B103" s="21">
        <v>7.89</v>
      </c>
    </row>
    <row r="104" spans="1:2" x14ac:dyDescent="0.25">
      <c r="A104" s="20">
        <v>42884</v>
      </c>
      <c r="B104" s="21">
        <v>7.85</v>
      </c>
    </row>
    <row r="105" spans="1:2" x14ac:dyDescent="0.25">
      <c r="A105" s="20">
        <v>42885</v>
      </c>
      <c r="B105" s="21">
        <v>7.89</v>
      </c>
    </row>
    <row r="106" spans="1:2" x14ac:dyDescent="0.25">
      <c r="A106" s="20">
        <v>42886</v>
      </c>
      <c r="B106" s="21">
        <v>7.79</v>
      </c>
    </row>
    <row r="107" spans="1:2" x14ac:dyDescent="0.25">
      <c r="A107" s="20">
        <v>42887</v>
      </c>
      <c r="B107" s="21">
        <v>7.95</v>
      </c>
    </row>
    <row r="108" spans="1:2" x14ac:dyDescent="0.25">
      <c r="A108" s="20">
        <v>42888</v>
      </c>
      <c r="B108" s="21">
        <v>7.99</v>
      </c>
    </row>
    <row r="109" spans="1:2" x14ac:dyDescent="0.25">
      <c r="A109" s="20">
        <v>42892</v>
      </c>
      <c r="B109" s="21">
        <v>8.02</v>
      </c>
    </row>
    <row r="110" spans="1:2" x14ac:dyDescent="0.25">
      <c r="A110" s="20">
        <v>42893</v>
      </c>
      <c r="B110" s="21">
        <v>8.01</v>
      </c>
    </row>
    <row r="111" spans="1:2" x14ac:dyDescent="0.25">
      <c r="A111" s="20">
        <v>42894</v>
      </c>
      <c r="B111" s="21">
        <v>7.6150000000000002</v>
      </c>
    </row>
    <row r="112" spans="1:2" x14ac:dyDescent="0.25">
      <c r="A112" s="20">
        <v>42895</v>
      </c>
      <c r="B112" s="21">
        <v>7.62</v>
      </c>
    </row>
    <row r="113" spans="1:2" x14ac:dyDescent="0.25">
      <c r="A113" s="20">
        <v>42898</v>
      </c>
      <c r="B113" s="21">
        <v>7.73</v>
      </c>
    </row>
    <row r="114" spans="1:2" x14ac:dyDescent="0.25">
      <c r="A114" s="20">
        <v>42899</v>
      </c>
      <c r="B114" s="21">
        <v>7.7649999999999997</v>
      </c>
    </row>
    <row r="115" spans="1:2" x14ac:dyDescent="0.25">
      <c r="A115" s="20">
        <v>42900</v>
      </c>
      <c r="B115" s="21">
        <v>7.7149999999999999</v>
      </c>
    </row>
    <row r="116" spans="1:2" x14ac:dyDescent="0.25">
      <c r="A116" s="20">
        <v>42901</v>
      </c>
      <c r="B116" s="21">
        <v>7.51</v>
      </c>
    </row>
    <row r="117" spans="1:2" x14ac:dyDescent="0.25">
      <c r="A117" s="20">
        <v>42902</v>
      </c>
      <c r="B117" s="21">
        <v>7.6</v>
      </c>
    </row>
    <row r="118" spans="1:2" x14ac:dyDescent="0.25">
      <c r="A118" s="20">
        <v>42905</v>
      </c>
      <c r="B118" s="21">
        <v>7.5350000000000001</v>
      </c>
    </row>
    <row r="119" spans="1:2" x14ac:dyDescent="0.25">
      <c r="A119" s="20">
        <v>42906</v>
      </c>
      <c r="B119" s="21">
        <v>7.35</v>
      </c>
    </row>
    <row r="120" spans="1:2" x14ac:dyDescent="0.25">
      <c r="A120" s="20">
        <v>42907</v>
      </c>
      <c r="B120" s="21">
        <v>7.4950000000000001</v>
      </c>
    </row>
    <row r="121" spans="1:2" x14ac:dyDescent="0.25">
      <c r="A121" s="20">
        <v>42908</v>
      </c>
      <c r="B121" s="21">
        <v>7.3650000000000002</v>
      </c>
    </row>
    <row r="122" spans="1:2" x14ac:dyDescent="0.25">
      <c r="A122" s="20">
        <v>42909</v>
      </c>
      <c r="B122" s="21">
        <v>7.51</v>
      </c>
    </row>
    <row r="123" spans="1:2" x14ac:dyDescent="0.25">
      <c r="A123" s="20">
        <v>42912</v>
      </c>
      <c r="B123" s="21">
        <v>7.2949999999999999</v>
      </c>
    </row>
    <row r="124" spans="1:2" x14ac:dyDescent="0.25">
      <c r="A124" s="20">
        <v>42913</v>
      </c>
      <c r="B124" s="21">
        <v>7.6349999999999998</v>
      </c>
    </row>
    <row r="125" spans="1:2" x14ac:dyDescent="0.25">
      <c r="A125" s="20">
        <v>42914</v>
      </c>
      <c r="B125" s="21">
        <v>7.6150000000000002</v>
      </c>
    </row>
    <row r="126" spans="1:2" x14ac:dyDescent="0.25">
      <c r="A126" s="20">
        <v>42915</v>
      </c>
      <c r="B126" s="21">
        <v>7.75</v>
      </c>
    </row>
    <row r="127" spans="1:2" x14ac:dyDescent="0.25">
      <c r="A127" s="20">
        <v>42916</v>
      </c>
      <c r="B127" s="21">
        <v>7.64</v>
      </c>
    </row>
    <row r="128" spans="1:2" x14ac:dyDescent="0.25">
      <c r="A128" s="20">
        <v>42919</v>
      </c>
      <c r="B128" s="21">
        <v>8.0250000000000004</v>
      </c>
    </row>
    <row r="129" spans="1:2" x14ac:dyDescent="0.25">
      <c r="A129" s="20">
        <v>42920</v>
      </c>
      <c r="B129" s="21">
        <v>8.0500000000000007</v>
      </c>
    </row>
    <row r="130" spans="1:2" x14ac:dyDescent="0.25">
      <c r="A130" s="20">
        <v>42921</v>
      </c>
      <c r="B130" s="21">
        <v>7.9</v>
      </c>
    </row>
    <row r="131" spans="1:2" x14ac:dyDescent="0.25">
      <c r="A131" s="20">
        <v>42922</v>
      </c>
      <c r="B131" s="21">
        <v>7.85</v>
      </c>
    </row>
    <row r="132" spans="1:2" x14ac:dyDescent="0.25">
      <c r="A132" s="20">
        <v>42923</v>
      </c>
      <c r="B132" s="21">
        <v>7.6</v>
      </c>
    </row>
    <row r="133" spans="1:2" x14ac:dyDescent="0.25">
      <c r="A133" s="20">
        <v>42926</v>
      </c>
      <c r="B133" s="21">
        <v>7.95</v>
      </c>
    </row>
    <row r="134" spans="1:2" x14ac:dyDescent="0.25">
      <c r="A134" s="20">
        <v>42927</v>
      </c>
      <c r="B134" s="21">
        <v>7.9450000000000003</v>
      </c>
    </row>
    <row r="135" spans="1:2" x14ac:dyDescent="0.25">
      <c r="A135" s="20">
        <v>42928</v>
      </c>
      <c r="B135" s="21">
        <v>8.2750000000000004</v>
      </c>
    </row>
    <row r="136" spans="1:2" x14ac:dyDescent="0.25">
      <c r="A136" s="20">
        <v>42929</v>
      </c>
      <c r="B136" s="21">
        <v>8.08</v>
      </c>
    </row>
    <row r="137" spans="1:2" x14ac:dyDescent="0.25">
      <c r="A137" s="20">
        <v>42930</v>
      </c>
      <c r="B137" s="21">
        <v>8.2550000000000008</v>
      </c>
    </row>
    <row r="138" spans="1:2" x14ac:dyDescent="0.25">
      <c r="A138" s="20">
        <v>42933</v>
      </c>
      <c r="B138" s="21">
        <v>8.25</v>
      </c>
    </row>
    <row r="139" spans="1:2" x14ac:dyDescent="0.25">
      <c r="A139" s="20">
        <v>42934</v>
      </c>
      <c r="B139" s="21">
        <v>8.2949999999999999</v>
      </c>
    </row>
    <row r="140" spans="1:2" x14ac:dyDescent="0.25">
      <c r="A140" s="20">
        <v>42935</v>
      </c>
      <c r="B140" s="21">
        <v>8.3049999999999997</v>
      </c>
    </row>
    <row r="141" spans="1:2" x14ac:dyDescent="0.25">
      <c r="A141" s="20">
        <v>42936</v>
      </c>
      <c r="B141" s="21">
        <v>8.48</v>
      </c>
    </row>
    <row r="142" spans="1:2" x14ac:dyDescent="0.25">
      <c r="A142" s="20">
        <v>42937</v>
      </c>
      <c r="B142" s="21">
        <v>8.32</v>
      </c>
    </row>
    <row r="143" spans="1:2" x14ac:dyDescent="0.25">
      <c r="A143" s="20">
        <v>42940</v>
      </c>
      <c r="B143" s="21">
        <v>8.6150000000000002</v>
      </c>
    </row>
    <row r="144" spans="1:2" x14ac:dyDescent="0.25">
      <c r="A144" s="20">
        <v>42941</v>
      </c>
      <c r="B144" s="21">
        <v>8.7249999999999996</v>
      </c>
    </row>
    <row r="145" spans="1:2" x14ac:dyDescent="0.25">
      <c r="A145" s="20">
        <v>42942</v>
      </c>
      <c r="B145" s="21">
        <v>8.89</v>
      </c>
    </row>
    <row r="146" spans="1:2" x14ac:dyDescent="0.25">
      <c r="A146" s="20">
        <v>42943</v>
      </c>
      <c r="B146" s="21">
        <v>8.99</v>
      </c>
    </row>
    <row r="147" spans="1:2" x14ac:dyDescent="0.25">
      <c r="A147" s="20">
        <v>42944</v>
      </c>
      <c r="B147" s="21">
        <v>9.0749999999999993</v>
      </c>
    </row>
    <row r="148" spans="1:2" x14ac:dyDescent="0.25">
      <c r="A148" s="20">
        <v>42947</v>
      </c>
      <c r="B148" s="21">
        <v>9.16</v>
      </c>
    </row>
    <row r="149" spans="1:2" x14ac:dyDescent="0.25">
      <c r="A149" s="20">
        <v>42948</v>
      </c>
      <c r="B149" s="21">
        <v>8.9749999999999996</v>
      </c>
    </row>
    <row r="150" spans="1:2" x14ac:dyDescent="0.25">
      <c r="A150" s="20">
        <v>42949</v>
      </c>
      <c r="B150" s="21">
        <v>9.1150000000000002</v>
      </c>
    </row>
    <row r="151" spans="1:2" x14ac:dyDescent="0.25">
      <c r="A151" s="20">
        <v>42950</v>
      </c>
      <c r="B151" s="21">
        <v>9.0500000000000007</v>
      </c>
    </row>
    <row r="152" spans="1:2" x14ac:dyDescent="0.25">
      <c r="A152" s="20">
        <v>42951</v>
      </c>
      <c r="B152" s="21">
        <v>8.9649999999999999</v>
      </c>
    </row>
    <row r="153" spans="1:2" x14ac:dyDescent="0.25">
      <c r="A153" s="20">
        <v>42954</v>
      </c>
      <c r="B153" s="21">
        <v>9.09</v>
      </c>
    </row>
    <row r="154" spans="1:2" x14ac:dyDescent="0.25">
      <c r="A154" s="20">
        <v>42955</v>
      </c>
      <c r="B154" s="21">
        <v>9.0749999999999993</v>
      </c>
    </row>
    <row r="155" spans="1:2" x14ac:dyDescent="0.25">
      <c r="A155" s="20">
        <v>42956</v>
      </c>
      <c r="B155" s="21">
        <v>9.1150000000000002</v>
      </c>
    </row>
    <row r="156" spans="1:2" x14ac:dyDescent="0.25">
      <c r="A156" s="20">
        <v>42957</v>
      </c>
      <c r="B156" s="21">
        <v>9.2200000000000006</v>
      </c>
    </row>
    <row r="157" spans="1:2" x14ac:dyDescent="0.25">
      <c r="A157" s="20">
        <v>42958</v>
      </c>
      <c r="B157" s="21">
        <v>9.0050000000000008</v>
      </c>
    </row>
    <row r="158" spans="1:2" x14ac:dyDescent="0.25">
      <c r="A158" s="20">
        <v>42961</v>
      </c>
      <c r="B158" s="21">
        <v>9.09</v>
      </c>
    </row>
    <row r="159" spans="1:2" x14ac:dyDescent="0.25">
      <c r="A159" s="20">
        <v>42962</v>
      </c>
      <c r="B159" s="21">
        <v>8.9049999999999994</v>
      </c>
    </row>
    <row r="160" spans="1:2" x14ac:dyDescent="0.25">
      <c r="A160" s="20">
        <v>42963</v>
      </c>
      <c r="B160" s="21">
        <v>8.98</v>
      </c>
    </row>
    <row r="161" spans="1:2" x14ac:dyDescent="0.25">
      <c r="A161" s="20">
        <v>42964</v>
      </c>
      <c r="B161" s="21">
        <v>8.86</v>
      </c>
    </row>
    <row r="162" spans="1:2" x14ac:dyDescent="0.25">
      <c r="A162" s="20">
        <v>42965</v>
      </c>
      <c r="B162" s="21">
        <v>8.6549999999999994</v>
      </c>
    </row>
    <row r="163" spans="1:2" x14ac:dyDescent="0.25">
      <c r="A163" s="20">
        <v>42968</v>
      </c>
      <c r="B163" s="21">
        <v>8.77</v>
      </c>
    </row>
    <row r="164" spans="1:2" x14ac:dyDescent="0.25">
      <c r="A164" s="20">
        <v>42969</v>
      </c>
      <c r="B164" s="21">
        <v>9</v>
      </c>
    </row>
    <row r="165" spans="1:2" x14ac:dyDescent="0.25">
      <c r="A165" s="20">
        <v>42970</v>
      </c>
      <c r="B165" s="21">
        <v>8.9700000000000006</v>
      </c>
    </row>
    <row r="166" spans="1:2" x14ac:dyDescent="0.25">
      <c r="A166" s="20">
        <v>42971</v>
      </c>
      <c r="B166" s="21">
        <v>10.050000000000001</v>
      </c>
    </row>
    <row r="167" spans="1:2" x14ac:dyDescent="0.25">
      <c r="A167" s="20">
        <v>42972</v>
      </c>
      <c r="B167" s="21">
        <v>11.44</v>
      </c>
    </row>
    <row r="168" spans="1:2" x14ac:dyDescent="0.25">
      <c r="A168" s="20">
        <v>42975</v>
      </c>
      <c r="B168" s="21">
        <v>11.38</v>
      </c>
    </row>
    <row r="169" spans="1:2" x14ac:dyDescent="0.25">
      <c r="A169" s="20">
        <v>42976</v>
      </c>
      <c r="B169" s="21">
        <v>11.68</v>
      </c>
    </row>
    <row r="170" spans="1:2" x14ac:dyDescent="0.25">
      <c r="A170" s="20">
        <v>42977</v>
      </c>
      <c r="B170" s="21">
        <v>11.82</v>
      </c>
    </row>
    <row r="171" spans="1:2" x14ac:dyDescent="0.25">
      <c r="A171" s="20">
        <v>42978</v>
      </c>
      <c r="B171" s="21">
        <v>12.17</v>
      </c>
    </row>
    <row r="172" spans="1:2" x14ac:dyDescent="0.25">
      <c r="A172" s="20">
        <v>42979</v>
      </c>
      <c r="B172" s="21">
        <v>12.1</v>
      </c>
    </row>
    <row r="173" spans="1:2" x14ac:dyDescent="0.25">
      <c r="A173" s="20">
        <v>42982</v>
      </c>
      <c r="B173" s="21">
        <v>12.2</v>
      </c>
    </row>
    <row r="174" spans="1:2" x14ac:dyDescent="0.25">
      <c r="A174" s="20">
        <v>42983</v>
      </c>
      <c r="B174" s="21">
        <v>12.2</v>
      </c>
    </row>
    <row r="175" spans="1:2" x14ac:dyDescent="0.25">
      <c r="A175" s="20">
        <v>42984</v>
      </c>
      <c r="B175" s="21">
        <v>12.19</v>
      </c>
    </row>
    <row r="176" spans="1:2" x14ac:dyDescent="0.25">
      <c r="A176" s="20">
        <v>42985</v>
      </c>
      <c r="B176" s="21">
        <v>12.1</v>
      </c>
    </row>
    <row r="177" spans="1:2" x14ac:dyDescent="0.25">
      <c r="A177" s="20">
        <v>42986</v>
      </c>
      <c r="B177" s="21">
        <v>12.25</v>
      </c>
    </row>
    <row r="178" spans="1:2" x14ac:dyDescent="0.25">
      <c r="A178" s="20">
        <v>42989</v>
      </c>
      <c r="B178" s="21">
        <v>12.02</v>
      </c>
    </row>
    <row r="179" spans="1:2" x14ac:dyDescent="0.25">
      <c r="A179" s="20">
        <v>42990</v>
      </c>
      <c r="B179" s="21">
        <v>12.29</v>
      </c>
    </row>
    <row r="180" spans="1:2" x14ac:dyDescent="0.25">
      <c r="A180" s="20">
        <v>42991</v>
      </c>
      <c r="B180" s="21">
        <v>12.38</v>
      </c>
    </row>
    <row r="181" spans="1:2" x14ac:dyDescent="0.25">
      <c r="A181" s="20">
        <v>42992</v>
      </c>
      <c r="B181" s="21">
        <v>12</v>
      </c>
    </row>
    <row r="182" spans="1:2" x14ac:dyDescent="0.25">
      <c r="A182" s="20">
        <v>42993</v>
      </c>
      <c r="B182" s="21">
        <v>11.9</v>
      </c>
    </row>
    <row r="183" spans="1:2" x14ac:dyDescent="0.25">
      <c r="A183" s="20">
        <v>42996</v>
      </c>
      <c r="B183" s="21">
        <v>11.28</v>
      </c>
    </row>
    <row r="184" spans="1:2" x14ac:dyDescent="0.25">
      <c r="A184" s="20">
        <v>42997</v>
      </c>
      <c r="B184" s="21">
        <v>11.58</v>
      </c>
    </row>
    <row r="185" spans="1:2" x14ac:dyDescent="0.25">
      <c r="A185" s="20">
        <v>42998</v>
      </c>
      <c r="B185" s="21">
        <v>11.44</v>
      </c>
    </row>
    <row r="186" spans="1:2" x14ac:dyDescent="0.25">
      <c r="A186" s="20">
        <v>42999</v>
      </c>
      <c r="B186" s="21">
        <v>11.56</v>
      </c>
    </row>
    <row r="187" spans="1:2" x14ac:dyDescent="0.25">
      <c r="A187" s="20">
        <v>43000</v>
      </c>
      <c r="B187" s="21">
        <v>11.32</v>
      </c>
    </row>
    <row r="188" spans="1:2" x14ac:dyDescent="0.25">
      <c r="A188" s="20">
        <v>43003</v>
      </c>
      <c r="B188" s="21">
        <v>11.17</v>
      </c>
    </row>
    <row r="189" spans="1:2" x14ac:dyDescent="0.25">
      <c r="A189" s="20">
        <v>43004</v>
      </c>
      <c r="B189" s="21">
        <v>11.55</v>
      </c>
    </row>
    <row r="190" spans="1:2" x14ac:dyDescent="0.25">
      <c r="A190" s="20">
        <v>43005</v>
      </c>
      <c r="B190" s="21">
        <v>11.55</v>
      </c>
    </row>
    <row r="191" spans="1:2" x14ac:dyDescent="0.25">
      <c r="A191" s="20">
        <v>43006</v>
      </c>
      <c r="B191" s="21">
        <v>11.3</v>
      </c>
    </row>
    <row r="192" spans="1:2" x14ac:dyDescent="0.25">
      <c r="A192" s="20">
        <v>43007</v>
      </c>
      <c r="B192" s="21">
        <v>10.92</v>
      </c>
    </row>
    <row r="193" spans="1:2" x14ac:dyDescent="0.25">
      <c r="A193" s="20">
        <v>43010</v>
      </c>
      <c r="B193" s="21">
        <v>9.9499999999999993</v>
      </c>
    </row>
    <row r="194" spans="1:2" x14ac:dyDescent="0.25">
      <c r="A194" s="20">
        <v>43011</v>
      </c>
      <c r="B194" s="21">
        <v>10.53</v>
      </c>
    </row>
    <row r="195" spans="1:2" x14ac:dyDescent="0.25">
      <c r="A195" s="20">
        <v>43012</v>
      </c>
      <c r="B195" s="21">
        <v>10.73</v>
      </c>
    </row>
    <row r="196" spans="1:2" x14ac:dyDescent="0.25">
      <c r="A196" s="20">
        <v>43013</v>
      </c>
      <c r="B196" s="21">
        <v>10.29</v>
      </c>
    </row>
    <row r="197" spans="1:2" x14ac:dyDescent="0.25">
      <c r="A197" s="20">
        <v>43014</v>
      </c>
      <c r="B197" s="21">
        <v>10.32</v>
      </c>
    </row>
    <row r="198" spans="1:2" x14ac:dyDescent="0.25">
      <c r="A198" s="20">
        <v>43017</v>
      </c>
      <c r="B198" s="21">
        <v>10.71</v>
      </c>
    </row>
    <row r="199" spans="1:2" x14ac:dyDescent="0.25">
      <c r="A199" s="20">
        <v>43018</v>
      </c>
      <c r="B199" s="21">
        <v>10.210000000000001</v>
      </c>
    </row>
    <row r="200" spans="1:2" x14ac:dyDescent="0.25">
      <c r="A200" s="20">
        <v>43019</v>
      </c>
      <c r="B200" s="21">
        <v>10.31</v>
      </c>
    </row>
    <row r="201" spans="1:2" x14ac:dyDescent="0.25">
      <c r="A201" s="20">
        <v>43020</v>
      </c>
      <c r="B201" s="21">
        <v>10.14</v>
      </c>
    </row>
    <row r="202" spans="1:2" x14ac:dyDescent="0.25">
      <c r="A202" s="20">
        <v>43021</v>
      </c>
      <c r="B202" s="21">
        <v>10.38</v>
      </c>
    </row>
    <row r="203" spans="1:2" x14ac:dyDescent="0.25">
      <c r="A203" s="20">
        <v>43024</v>
      </c>
      <c r="B203" s="21">
        <v>9.82</v>
      </c>
    </row>
    <row r="204" spans="1:2" x14ac:dyDescent="0.25">
      <c r="A204" s="20">
        <v>43025</v>
      </c>
      <c r="B204" s="21">
        <v>10.25</v>
      </c>
    </row>
    <row r="205" spans="1:2" x14ac:dyDescent="0.25">
      <c r="A205" s="20">
        <v>43026</v>
      </c>
      <c r="B205" s="21">
        <v>10.6</v>
      </c>
    </row>
    <row r="206" spans="1:2" x14ac:dyDescent="0.25">
      <c r="A206" s="20">
        <v>43027</v>
      </c>
      <c r="B206" s="21">
        <v>10.28</v>
      </c>
    </row>
    <row r="207" spans="1:2" x14ac:dyDescent="0.25">
      <c r="A207" s="20">
        <v>43028</v>
      </c>
      <c r="B207" s="21">
        <v>10.35</v>
      </c>
    </row>
    <row r="208" spans="1:2" x14ac:dyDescent="0.25">
      <c r="A208" s="20">
        <v>43031</v>
      </c>
      <c r="B208" s="21">
        <v>10.02</v>
      </c>
    </row>
    <row r="209" spans="1:2" x14ac:dyDescent="0.25">
      <c r="A209" s="20">
        <v>43032</v>
      </c>
      <c r="B209" s="21">
        <v>9.7899999999999991</v>
      </c>
    </row>
    <row r="210" spans="1:2" x14ac:dyDescent="0.25">
      <c r="A210" s="20">
        <v>43033</v>
      </c>
      <c r="B210" s="21">
        <v>10.07</v>
      </c>
    </row>
    <row r="211" spans="1:2" x14ac:dyDescent="0.25">
      <c r="A211" s="20">
        <v>43034</v>
      </c>
      <c r="B211" s="21">
        <v>9.91</v>
      </c>
    </row>
    <row r="212" spans="1:2" x14ac:dyDescent="0.25">
      <c r="A212" s="20">
        <v>43035</v>
      </c>
      <c r="B212" s="21">
        <v>10.3</v>
      </c>
    </row>
    <row r="213" spans="1:2" x14ac:dyDescent="0.25">
      <c r="A213" s="20">
        <v>43038</v>
      </c>
      <c r="B213" s="21">
        <v>9.73</v>
      </c>
    </row>
    <row r="214" spans="1:2" x14ac:dyDescent="0.25">
      <c r="A214" s="20">
        <v>43039</v>
      </c>
      <c r="B214" s="21">
        <v>9.9</v>
      </c>
    </row>
    <row r="215" spans="1:2" x14ac:dyDescent="0.25">
      <c r="A215" s="20">
        <v>43040</v>
      </c>
      <c r="B215" s="21">
        <v>10.01</v>
      </c>
    </row>
    <row r="216" spans="1:2" x14ac:dyDescent="0.25">
      <c r="A216" s="20">
        <v>43041</v>
      </c>
      <c r="B216" s="21">
        <v>9.9700000000000006</v>
      </c>
    </row>
    <row r="217" spans="1:2" x14ac:dyDescent="0.25">
      <c r="A217" s="20">
        <v>43042</v>
      </c>
      <c r="B217" s="21">
        <v>9.9</v>
      </c>
    </row>
    <row r="218" spans="1:2" x14ac:dyDescent="0.25">
      <c r="A218" s="20">
        <v>43045</v>
      </c>
      <c r="B218" s="21">
        <v>10</v>
      </c>
    </row>
    <row r="219" spans="1:2" x14ac:dyDescent="0.25">
      <c r="A219" s="20">
        <v>43046</v>
      </c>
      <c r="B219" s="21">
        <v>10.59</v>
      </c>
    </row>
    <row r="220" spans="1:2" x14ac:dyDescent="0.25">
      <c r="A220" s="20">
        <v>43047</v>
      </c>
      <c r="B220" s="21">
        <v>10.48</v>
      </c>
    </row>
    <row r="221" spans="1:2" x14ac:dyDescent="0.25">
      <c r="A221" s="20">
        <v>43048</v>
      </c>
      <c r="B221" s="21">
        <v>10.67</v>
      </c>
    </row>
    <row r="222" spans="1:2" x14ac:dyDescent="0.25">
      <c r="A222" s="20">
        <v>43049</v>
      </c>
      <c r="B222" s="21">
        <v>10.54</v>
      </c>
    </row>
    <row r="223" spans="1:2" x14ac:dyDescent="0.25">
      <c r="A223" s="20">
        <v>43052</v>
      </c>
      <c r="B223" s="21">
        <v>10.08</v>
      </c>
    </row>
    <row r="224" spans="1:2" x14ac:dyDescent="0.25">
      <c r="A224" s="20">
        <v>43053</v>
      </c>
      <c r="B224" s="21">
        <v>10.18</v>
      </c>
    </row>
    <row r="225" spans="1:2" x14ac:dyDescent="0.25">
      <c r="A225" s="20">
        <v>43054</v>
      </c>
      <c r="B225" s="21">
        <v>9.7100000000000009</v>
      </c>
    </row>
    <row r="226" spans="1:2" x14ac:dyDescent="0.25">
      <c r="A226" s="20">
        <v>43055</v>
      </c>
      <c r="B226" s="21">
        <v>9.9149999999999991</v>
      </c>
    </row>
    <row r="227" spans="1:2" x14ac:dyDescent="0.25">
      <c r="A227" s="20">
        <v>43056</v>
      </c>
      <c r="B227" s="21">
        <v>10.01</v>
      </c>
    </row>
    <row r="228" spans="1:2" x14ac:dyDescent="0.25">
      <c r="A228" s="20">
        <v>43059</v>
      </c>
      <c r="B228" s="21">
        <v>9.8350000000000009</v>
      </c>
    </row>
    <row r="229" spans="1:2" x14ac:dyDescent="0.25">
      <c r="A229" s="20">
        <v>43060</v>
      </c>
      <c r="B229" s="21">
        <v>10.31</v>
      </c>
    </row>
    <row r="230" spans="1:2" x14ac:dyDescent="0.25">
      <c r="A230" s="20">
        <v>43061</v>
      </c>
      <c r="B230" s="21">
        <v>10.08</v>
      </c>
    </row>
    <row r="231" spans="1:2" x14ac:dyDescent="0.25">
      <c r="A231" s="20">
        <v>43062</v>
      </c>
      <c r="B231" s="21">
        <v>10.09</v>
      </c>
    </row>
    <row r="232" spans="1:2" x14ac:dyDescent="0.25">
      <c r="A232" s="20">
        <v>43063</v>
      </c>
      <c r="B232" s="21">
        <v>10.039999999999999</v>
      </c>
    </row>
    <row r="233" spans="1:2" x14ac:dyDescent="0.25">
      <c r="A233" s="20">
        <v>43066</v>
      </c>
      <c r="B233" s="21">
        <v>9.8949999999999996</v>
      </c>
    </row>
    <row r="234" spans="1:2" x14ac:dyDescent="0.25">
      <c r="A234" s="20">
        <v>43067</v>
      </c>
      <c r="B234" s="21">
        <v>9.9649999999999999</v>
      </c>
    </row>
    <row r="235" spans="1:2" x14ac:dyDescent="0.25">
      <c r="A235" s="20">
        <v>43068</v>
      </c>
      <c r="B235" s="21">
        <v>9.7650000000000006</v>
      </c>
    </row>
    <row r="236" spans="1:2" x14ac:dyDescent="0.25">
      <c r="A236" s="20">
        <v>43069</v>
      </c>
      <c r="B236" s="21">
        <v>9.77</v>
      </c>
    </row>
    <row r="237" spans="1:2" x14ac:dyDescent="0.25">
      <c r="A237" s="20">
        <v>43070</v>
      </c>
      <c r="B237" s="21">
        <v>10.24</v>
      </c>
    </row>
    <row r="238" spans="1:2" x14ac:dyDescent="0.25">
      <c r="A238" s="20">
        <v>43073</v>
      </c>
      <c r="B238" s="21">
        <v>9.8149999999999995</v>
      </c>
    </row>
    <row r="239" spans="1:2" x14ac:dyDescent="0.25">
      <c r="A239" s="20">
        <v>43074</v>
      </c>
      <c r="B239" s="21">
        <v>9.3000000000000007</v>
      </c>
    </row>
    <row r="240" spans="1:2" x14ac:dyDescent="0.25">
      <c r="A240" s="20">
        <v>43075</v>
      </c>
      <c r="B240" s="21">
        <v>8.9499999999999993</v>
      </c>
    </row>
    <row r="241" spans="1:2" x14ac:dyDescent="0.25">
      <c r="A241" s="20">
        <v>43076</v>
      </c>
      <c r="B241" s="21">
        <v>8.9649999999999999</v>
      </c>
    </row>
    <row r="242" spans="1:2" x14ac:dyDescent="0.25">
      <c r="A242" s="20">
        <v>43077</v>
      </c>
      <c r="B242" s="21">
        <v>8.74</v>
      </c>
    </row>
    <row r="243" spans="1:2" x14ac:dyDescent="0.25">
      <c r="A243" s="20">
        <v>43080</v>
      </c>
      <c r="B243" s="21">
        <v>9.73</v>
      </c>
    </row>
    <row r="244" spans="1:2" x14ac:dyDescent="0.25">
      <c r="A244" s="20">
        <v>43081</v>
      </c>
      <c r="B244" s="21">
        <v>9.4049999999999994</v>
      </c>
    </row>
    <row r="245" spans="1:2" x14ac:dyDescent="0.25">
      <c r="A245" s="20">
        <v>43082</v>
      </c>
      <c r="B245" s="21">
        <v>9.1199999999999992</v>
      </c>
    </row>
    <row r="246" spans="1:2" x14ac:dyDescent="0.25">
      <c r="A246" s="20">
        <v>43083</v>
      </c>
      <c r="B246" s="21">
        <v>9.15</v>
      </c>
    </row>
    <row r="247" spans="1:2" x14ac:dyDescent="0.25">
      <c r="A247" s="20">
        <v>43084</v>
      </c>
      <c r="B247" s="21">
        <v>9.0299999999999994</v>
      </c>
    </row>
    <row r="248" spans="1:2" x14ac:dyDescent="0.25">
      <c r="A248" s="20">
        <v>43087</v>
      </c>
      <c r="B248" s="21">
        <v>9.0399999999999991</v>
      </c>
    </row>
    <row r="249" spans="1:2" x14ac:dyDescent="0.25">
      <c r="A249" s="20">
        <v>43088</v>
      </c>
      <c r="B249" s="21">
        <v>9.1850000000000005</v>
      </c>
    </row>
    <row r="250" spans="1:2" x14ac:dyDescent="0.25">
      <c r="A250" s="20">
        <v>43089</v>
      </c>
      <c r="B250" s="21">
        <v>9.17</v>
      </c>
    </row>
    <row r="251" spans="1:2" x14ac:dyDescent="0.25">
      <c r="A251" s="20">
        <v>43090</v>
      </c>
      <c r="B251" s="21">
        <v>9.51</v>
      </c>
    </row>
    <row r="252" spans="1:2" x14ac:dyDescent="0.25">
      <c r="A252" s="20">
        <v>43091</v>
      </c>
      <c r="B252" s="21">
        <v>9.2449999999999992</v>
      </c>
    </row>
    <row r="253" spans="1:2" x14ac:dyDescent="0.25">
      <c r="A253" s="20">
        <v>43096</v>
      </c>
      <c r="B253" s="21">
        <v>9.5549999999999997</v>
      </c>
    </row>
    <row r="254" spans="1:2" x14ac:dyDescent="0.25">
      <c r="A254" s="20">
        <v>43097</v>
      </c>
      <c r="B254" s="21">
        <v>9.5350000000000001</v>
      </c>
    </row>
    <row r="255" spans="1:2" x14ac:dyDescent="0.25">
      <c r="A255" s="20">
        <v>43098</v>
      </c>
      <c r="B255" s="21">
        <v>9.5</v>
      </c>
    </row>
    <row r="256" spans="1:2" x14ac:dyDescent="0.25">
      <c r="A256" s="20">
        <v>43102</v>
      </c>
      <c r="B256" s="21">
        <v>9.5180000000000007</v>
      </c>
    </row>
    <row r="257" spans="1:2" x14ac:dyDescent="0.25">
      <c r="A257" s="20">
        <v>43103</v>
      </c>
      <c r="B257" s="21">
        <v>10.015000000000001</v>
      </c>
    </row>
    <row r="258" spans="1:2" x14ac:dyDescent="0.25">
      <c r="A258" s="20">
        <v>43104</v>
      </c>
      <c r="B258" s="21">
        <v>9.9</v>
      </c>
    </row>
    <row r="259" spans="1:2" x14ac:dyDescent="0.25">
      <c r="A259" s="20">
        <v>43105</v>
      </c>
      <c r="B259" s="21">
        <v>9.84</v>
      </c>
    </row>
    <row r="260" spans="1:2" x14ac:dyDescent="0.25">
      <c r="A260" s="20">
        <v>43108</v>
      </c>
      <c r="B260" s="21">
        <v>10.15</v>
      </c>
    </row>
    <row r="261" spans="1:2" x14ac:dyDescent="0.25">
      <c r="A261" s="20">
        <v>43109</v>
      </c>
      <c r="B261" s="21">
        <v>10.5</v>
      </c>
    </row>
    <row r="262" spans="1:2" x14ac:dyDescent="0.25">
      <c r="A262" s="20">
        <v>43110</v>
      </c>
      <c r="B262" s="21">
        <v>10.5</v>
      </c>
    </row>
    <row r="263" spans="1:2" x14ac:dyDescent="0.25">
      <c r="A263" s="20">
        <v>43111</v>
      </c>
      <c r="B263" s="21">
        <v>10.75</v>
      </c>
    </row>
    <row r="264" spans="1:2" x14ac:dyDescent="0.25">
      <c r="A264" s="20">
        <v>43112</v>
      </c>
      <c r="B264" s="21">
        <v>10.78</v>
      </c>
    </row>
    <row r="265" spans="1:2" x14ac:dyDescent="0.25">
      <c r="A265" s="20">
        <v>43115</v>
      </c>
      <c r="B265" s="21">
        <v>10.95</v>
      </c>
    </row>
    <row r="266" spans="1:2" x14ac:dyDescent="0.25">
      <c r="A266" s="20">
        <v>43116</v>
      </c>
      <c r="B266" s="21">
        <v>10.75</v>
      </c>
    </row>
    <row r="267" spans="1:2" x14ac:dyDescent="0.25">
      <c r="A267" s="20">
        <v>43117</v>
      </c>
      <c r="B267" s="21">
        <v>10.625</v>
      </c>
    </row>
    <row r="268" spans="1:2" x14ac:dyDescent="0.25">
      <c r="A268" s="20">
        <v>43118</v>
      </c>
      <c r="B268" s="21">
        <v>10.505000000000001</v>
      </c>
    </row>
    <row r="269" spans="1:2" x14ac:dyDescent="0.25">
      <c r="A269" s="20">
        <v>43119</v>
      </c>
      <c r="B269" s="21">
        <v>10.52</v>
      </c>
    </row>
    <row r="270" spans="1:2" x14ac:dyDescent="0.25">
      <c r="A270" s="20">
        <v>43122</v>
      </c>
      <c r="B270" s="21">
        <v>10.49</v>
      </c>
    </row>
    <row r="271" spans="1:2" x14ac:dyDescent="0.25">
      <c r="A271" s="20">
        <v>43123</v>
      </c>
      <c r="B271" s="21">
        <v>10.47</v>
      </c>
    </row>
    <row r="272" spans="1:2" x14ac:dyDescent="0.25">
      <c r="A272" s="20">
        <v>43124</v>
      </c>
      <c r="B272" s="21">
        <v>10.49</v>
      </c>
    </row>
    <row r="273" spans="1:2" x14ac:dyDescent="0.25">
      <c r="A273" s="20">
        <v>43125</v>
      </c>
      <c r="B273" s="21">
        <v>10.65</v>
      </c>
    </row>
    <row r="274" spans="1:2" x14ac:dyDescent="0.25">
      <c r="A274" s="20">
        <v>43126</v>
      </c>
      <c r="B274" s="21">
        <v>10.33</v>
      </c>
    </row>
    <row r="275" spans="1:2" x14ac:dyDescent="0.25">
      <c r="A275" s="20">
        <v>43129</v>
      </c>
      <c r="B275" s="21">
        <v>10.45</v>
      </c>
    </row>
    <row r="276" spans="1:2" x14ac:dyDescent="0.25">
      <c r="A276" s="20">
        <v>43130</v>
      </c>
      <c r="B276" s="21">
        <v>9.86</v>
      </c>
    </row>
    <row r="277" spans="1:2" x14ac:dyDescent="0.25">
      <c r="A277" s="20">
        <v>43131</v>
      </c>
      <c r="B277" s="21">
        <v>9.86</v>
      </c>
    </row>
    <row r="278" spans="1:2" x14ac:dyDescent="0.25">
      <c r="A278" s="20">
        <v>43132</v>
      </c>
      <c r="B278" s="21">
        <v>10.175000000000001</v>
      </c>
    </row>
    <row r="279" spans="1:2" x14ac:dyDescent="0.25">
      <c r="A279" s="20">
        <v>43133</v>
      </c>
      <c r="B279" s="21">
        <v>9.8659999999999997</v>
      </c>
    </row>
    <row r="280" spans="1:2" x14ac:dyDescent="0.25">
      <c r="A280" s="20">
        <v>43136</v>
      </c>
      <c r="B280" s="21">
        <v>9.7799999999999994</v>
      </c>
    </row>
    <row r="281" spans="1:2" x14ac:dyDescent="0.25">
      <c r="A281" s="20">
        <v>43137</v>
      </c>
      <c r="B281" s="21">
        <v>9.58</v>
      </c>
    </row>
    <row r="282" spans="1:2" x14ac:dyDescent="0.25">
      <c r="A282" s="20">
        <v>43138</v>
      </c>
      <c r="B282" s="21">
        <v>10.055</v>
      </c>
    </row>
    <row r="283" spans="1:2" x14ac:dyDescent="0.25">
      <c r="A283" s="20">
        <v>43139</v>
      </c>
      <c r="B283" s="21">
        <v>9.0939999999999994</v>
      </c>
    </row>
    <row r="284" spans="1:2" x14ac:dyDescent="0.25">
      <c r="A284" s="20">
        <v>43140</v>
      </c>
      <c r="B284" s="21">
        <v>8.86</v>
      </c>
    </row>
    <row r="285" spans="1:2" x14ac:dyDescent="0.25">
      <c r="A285" s="20">
        <v>43143</v>
      </c>
      <c r="B285" s="21">
        <v>9.34</v>
      </c>
    </row>
    <row r="286" spans="1:2" x14ac:dyDescent="0.25">
      <c r="A286" s="20">
        <v>43144</v>
      </c>
      <c r="B286" s="21">
        <v>9.0280000000000005</v>
      </c>
    </row>
    <row r="287" spans="1:2" x14ac:dyDescent="0.25">
      <c r="A287" s="20">
        <v>43145</v>
      </c>
      <c r="B287" s="21">
        <v>9.0660000000000007</v>
      </c>
    </row>
    <row r="288" spans="1:2" x14ac:dyDescent="0.25">
      <c r="A288" s="20">
        <v>43146</v>
      </c>
      <c r="B288" s="21">
        <v>9.7479999999999993</v>
      </c>
    </row>
    <row r="289" spans="1:2" x14ac:dyDescent="0.25">
      <c r="A289" s="20">
        <v>43147</v>
      </c>
      <c r="B289" s="21">
        <v>9.6</v>
      </c>
    </row>
    <row r="290" spans="1:2" x14ac:dyDescent="0.25">
      <c r="A290" s="20">
        <v>43150</v>
      </c>
      <c r="B290" s="21">
        <v>9.83</v>
      </c>
    </row>
    <row r="291" spans="1:2" x14ac:dyDescent="0.25">
      <c r="A291" s="20">
        <v>43151</v>
      </c>
      <c r="B291" s="21">
        <v>9.9499999999999993</v>
      </c>
    </row>
    <row r="292" spans="1:2" x14ac:dyDescent="0.25">
      <c r="A292" s="20">
        <v>43152</v>
      </c>
      <c r="B292" s="21">
        <v>9.9440000000000008</v>
      </c>
    </row>
    <row r="293" spans="1:2" x14ac:dyDescent="0.25">
      <c r="A293" s="20">
        <v>43153</v>
      </c>
      <c r="B293" s="21">
        <v>9.98</v>
      </c>
    </row>
    <row r="294" spans="1:2" x14ac:dyDescent="0.25">
      <c r="A294" s="20">
        <v>43154</v>
      </c>
      <c r="B294" s="21">
        <v>10.18</v>
      </c>
    </row>
    <row r="295" spans="1:2" x14ac:dyDescent="0.25">
      <c r="A295" s="20">
        <v>43157</v>
      </c>
      <c r="B295" s="21">
        <v>10.285</v>
      </c>
    </row>
    <row r="296" spans="1:2" x14ac:dyDescent="0.25">
      <c r="A296" s="20">
        <v>43158</v>
      </c>
      <c r="B296" s="21">
        <v>10.69</v>
      </c>
    </row>
    <row r="297" spans="1:2" x14ac:dyDescent="0.25">
      <c r="A297" s="20">
        <v>43159</v>
      </c>
      <c r="B297" s="21">
        <v>10.8</v>
      </c>
    </row>
    <row r="298" spans="1:2" x14ac:dyDescent="0.25">
      <c r="A298" s="20">
        <v>43160</v>
      </c>
      <c r="B298" s="21">
        <v>10.42</v>
      </c>
    </row>
    <row r="299" spans="1:2" x14ac:dyDescent="0.25">
      <c r="A299" s="20">
        <v>43161</v>
      </c>
      <c r="B299" s="21">
        <v>10.205</v>
      </c>
    </row>
    <row r="300" spans="1:2" x14ac:dyDescent="0.25">
      <c r="A300" s="20">
        <v>43164</v>
      </c>
      <c r="B300" s="21">
        <v>10.56</v>
      </c>
    </row>
    <row r="301" spans="1:2" x14ac:dyDescent="0.25">
      <c r="A301" s="20">
        <v>43165</v>
      </c>
      <c r="B301" s="21">
        <v>10.845000000000001</v>
      </c>
    </row>
    <row r="302" spans="1:2" x14ac:dyDescent="0.25">
      <c r="A302" s="20">
        <v>43166</v>
      </c>
      <c r="B302" s="21">
        <v>10.7</v>
      </c>
    </row>
    <row r="303" spans="1:2" x14ac:dyDescent="0.25">
      <c r="A303" s="20">
        <v>43167</v>
      </c>
      <c r="B303" s="21">
        <v>10.85</v>
      </c>
    </row>
    <row r="304" spans="1:2" x14ac:dyDescent="0.25">
      <c r="A304" s="20">
        <v>43168</v>
      </c>
      <c r="B304" s="21">
        <v>10.845000000000001</v>
      </c>
    </row>
    <row r="305" spans="1:2" x14ac:dyDescent="0.25">
      <c r="A305" s="20">
        <v>43171</v>
      </c>
      <c r="B305" s="21">
        <v>10.875</v>
      </c>
    </row>
    <row r="306" spans="1:2" x14ac:dyDescent="0.25">
      <c r="A306" s="20">
        <v>43172</v>
      </c>
      <c r="B306" s="21">
        <v>10.98</v>
      </c>
    </row>
    <row r="307" spans="1:2" x14ac:dyDescent="0.25">
      <c r="A307" s="20">
        <v>43173</v>
      </c>
      <c r="B307" s="21">
        <v>10.904999999999999</v>
      </c>
    </row>
    <row r="308" spans="1:2" x14ac:dyDescent="0.25">
      <c r="A308" s="20">
        <v>43174</v>
      </c>
      <c r="B308" s="21">
        <v>10.76</v>
      </c>
    </row>
    <row r="309" spans="1:2" x14ac:dyDescent="0.25">
      <c r="A309" s="20">
        <v>43175</v>
      </c>
      <c r="B309" s="21">
        <v>11</v>
      </c>
    </row>
    <row r="310" spans="1:2" x14ac:dyDescent="0.25">
      <c r="A310" s="20">
        <v>43178</v>
      </c>
      <c r="B310" s="21">
        <v>11.3</v>
      </c>
    </row>
    <row r="311" spans="1:2" x14ac:dyDescent="0.25">
      <c r="A311" s="20">
        <v>43179</v>
      </c>
      <c r="B311" s="21">
        <v>11.51</v>
      </c>
    </row>
    <row r="312" spans="1:2" x14ac:dyDescent="0.25">
      <c r="A312" s="20">
        <v>43180</v>
      </c>
      <c r="B312" s="21">
        <v>11.945</v>
      </c>
    </row>
    <row r="313" spans="1:2" x14ac:dyDescent="0.25">
      <c r="A313" s="20">
        <v>43181</v>
      </c>
      <c r="B313" s="21">
        <v>11.69</v>
      </c>
    </row>
    <row r="314" spans="1:2" x14ac:dyDescent="0.25">
      <c r="A314" s="20">
        <v>43182</v>
      </c>
      <c r="B314" s="21">
        <v>11.9</v>
      </c>
    </row>
    <row r="315" spans="1:2" x14ac:dyDescent="0.25">
      <c r="A315" s="20">
        <v>43185</v>
      </c>
      <c r="B315" s="21">
        <v>12.095000000000001</v>
      </c>
    </row>
    <row r="316" spans="1:2" x14ac:dyDescent="0.25">
      <c r="A316" s="20">
        <v>43186</v>
      </c>
      <c r="B316" s="21">
        <v>12.59</v>
      </c>
    </row>
    <row r="317" spans="1:2" x14ac:dyDescent="0.25">
      <c r="A317" s="20">
        <v>43187</v>
      </c>
      <c r="B317" s="21">
        <v>12.355</v>
      </c>
    </row>
    <row r="318" spans="1:2" x14ac:dyDescent="0.25">
      <c r="A318" s="20">
        <v>43193</v>
      </c>
      <c r="B318" s="21">
        <v>12.76</v>
      </c>
    </row>
    <row r="319" spans="1:2" x14ac:dyDescent="0.25">
      <c r="A319" s="20">
        <v>43194</v>
      </c>
      <c r="B319" s="21">
        <v>12.555</v>
      </c>
    </row>
    <row r="320" spans="1:2" x14ac:dyDescent="0.25">
      <c r="A320" s="20">
        <v>43195</v>
      </c>
      <c r="B320" s="21">
        <v>13.105</v>
      </c>
    </row>
    <row r="321" spans="1:2" x14ac:dyDescent="0.25">
      <c r="A321" s="20">
        <v>43196</v>
      </c>
      <c r="B321" s="21">
        <v>13.74</v>
      </c>
    </row>
    <row r="322" spans="1:2" x14ac:dyDescent="0.25">
      <c r="A322" s="20">
        <v>43199</v>
      </c>
      <c r="B322" s="21">
        <v>13.425000000000001</v>
      </c>
    </row>
    <row r="323" spans="1:2" x14ac:dyDescent="0.25">
      <c r="A323" s="20">
        <v>43200</v>
      </c>
      <c r="B323" s="21">
        <v>13.395</v>
      </c>
    </row>
    <row r="324" spans="1:2" x14ac:dyDescent="0.25">
      <c r="A324" s="20">
        <v>43201</v>
      </c>
      <c r="B324" s="21">
        <v>13.49</v>
      </c>
    </row>
    <row r="325" spans="1:2" x14ac:dyDescent="0.25">
      <c r="A325" s="20">
        <v>43202</v>
      </c>
      <c r="B325" s="21">
        <v>13.7</v>
      </c>
    </row>
    <row r="326" spans="1:2" x14ac:dyDescent="0.25">
      <c r="A326" s="20">
        <v>43203</v>
      </c>
      <c r="B326" s="21">
        <v>14.074999999999999</v>
      </c>
    </row>
    <row r="327" spans="1:2" x14ac:dyDescent="0.25">
      <c r="A327" s="23">
        <v>43206</v>
      </c>
      <c r="B327" s="24">
        <v>14.02</v>
      </c>
    </row>
    <row r="328" spans="1:2" x14ac:dyDescent="0.25">
      <c r="A328" s="20">
        <v>43207</v>
      </c>
      <c r="B328" s="21">
        <v>14.81</v>
      </c>
    </row>
    <row r="329" spans="1:2" x14ac:dyDescent="0.25">
      <c r="A329" s="20">
        <v>43208</v>
      </c>
      <c r="B329" s="21">
        <v>15.14</v>
      </c>
    </row>
    <row r="330" spans="1:2" x14ac:dyDescent="0.25">
      <c r="A330" s="20">
        <v>43209</v>
      </c>
      <c r="B330" s="21">
        <v>15.42</v>
      </c>
    </row>
    <row r="331" spans="1:2" x14ac:dyDescent="0.25">
      <c r="A331" s="20">
        <v>43210</v>
      </c>
      <c r="B331" s="21">
        <v>15.494999999999999</v>
      </c>
    </row>
    <row r="332" spans="1:2" x14ac:dyDescent="0.25">
      <c r="A332" s="20">
        <v>43213</v>
      </c>
      <c r="B332" s="21">
        <v>15.1</v>
      </c>
    </row>
    <row r="333" spans="1:2" x14ac:dyDescent="0.25">
      <c r="A333" s="20">
        <v>43214</v>
      </c>
      <c r="B333" s="21">
        <v>15.945</v>
      </c>
    </row>
    <row r="334" spans="1:2" x14ac:dyDescent="0.25">
      <c r="A334" s="20">
        <v>43215</v>
      </c>
      <c r="B334" s="21">
        <v>15.45</v>
      </c>
    </row>
    <row r="335" spans="1:2" x14ac:dyDescent="0.25">
      <c r="A335" s="20">
        <v>43216</v>
      </c>
      <c r="B335" s="21">
        <v>15.705</v>
      </c>
    </row>
    <row r="336" spans="1:2" x14ac:dyDescent="0.25">
      <c r="A336" s="20">
        <v>43217</v>
      </c>
      <c r="B336" s="21">
        <v>15.465</v>
      </c>
    </row>
    <row r="337" spans="1:2" x14ac:dyDescent="0.25">
      <c r="A337" s="20">
        <v>43220</v>
      </c>
      <c r="B337" s="21">
        <v>14.96</v>
      </c>
    </row>
    <row r="338" spans="1:2" x14ac:dyDescent="0.25">
      <c r="A338" s="20">
        <v>43222</v>
      </c>
      <c r="B338" s="21">
        <v>14.935</v>
      </c>
    </row>
    <row r="339" spans="1:2" x14ac:dyDescent="0.25">
      <c r="A339" s="20">
        <v>43223</v>
      </c>
      <c r="B339" s="21">
        <v>15.08</v>
      </c>
    </row>
    <row r="340" spans="1:2" x14ac:dyDescent="0.25">
      <c r="A340" s="20">
        <v>43224</v>
      </c>
      <c r="B340" s="21">
        <v>14.66</v>
      </c>
    </row>
    <row r="341" spans="1:2" x14ac:dyDescent="0.25">
      <c r="A341" s="20">
        <v>43227</v>
      </c>
      <c r="B341" s="21">
        <v>15.03</v>
      </c>
    </row>
    <row r="342" spans="1:2" x14ac:dyDescent="0.25">
      <c r="A342" s="20">
        <v>43228</v>
      </c>
      <c r="B342" s="21">
        <v>14.64</v>
      </c>
    </row>
    <row r="343" spans="1:2" x14ac:dyDescent="0.25">
      <c r="A343" s="20">
        <v>43229</v>
      </c>
      <c r="B343" s="21">
        <v>15.08</v>
      </c>
    </row>
    <row r="344" spans="1:2" x14ac:dyDescent="0.25">
      <c r="A344" s="20">
        <v>43231</v>
      </c>
      <c r="B344" s="21">
        <v>15.335000000000001</v>
      </c>
    </row>
    <row r="345" spans="1:2" x14ac:dyDescent="0.25">
      <c r="A345" s="20">
        <v>43234</v>
      </c>
      <c r="B345" s="21">
        <v>15.28</v>
      </c>
    </row>
    <row r="346" spans="1:2" x14ac:dyDescent="0.25">
      <c r="A346" s="20">
        <v>43235</v>
      </c>
      <c r="B346" s="21">
        <v>15.34</v>
      </c>
    </row>
    <row r="347" spans="1:2" x14ac:dyDescent="0.25">
      <c r="A347" s="20">
        <v>43236</v>
      </c>
      <c r="B347" s="21">
        <v>15.41</v>
      </c>
    </row>
    <row r="348" spans="1:2" x14ac:dyDescent="0.25">
      <c r="A348" s="20">
        <v>43238</v>
      </c>
      <c r="B348" s="21">
        <v>16.23</v>
      </c>
    </row>
    <row r="349" spans="1:2" x14ac:dyDescent="0.25">
      <c r="A349" s="20">
        <v>43242</v>
      </c>
      <c r="B349" s="21">
        <v>16.350000000000001</v>
      </c>
    </row>
    <row r="350" spans="1:2" x14ac:dyDescent="0.25">
      <c r="A350" s="20">
        <v>43243</v>
      </c>
      <c r="B350" s="21">
        <v>16.03</v>
      </c>
    </row>
    <row r="351" spans="1:2" x14ac:dyDescent="0.25">
      <c r="A351" s="20">
        <v>43244</v>
      </c>
      <c r="B351" s="21">
        <v>15.775</v>
      </c>
    </row>
    <row r="352" spans="1:2" x14ac:dyDescent="0.25">
      <c r="A352" s="20">
        <v>43245</v>
      </c>
      <c r="B352" s="21">
        <v>14.8</v>
      </c>
    </row>
    <row r="353" spans="1:2" x14ac:dyDescent="0.25">
      <c r="A353" s="20">
        <v>43248</v>
      </c>
      <c r="B353" s="21">
        <v>14.85</v>
      </c>
    </row>
    <row r="354" spans="1:2" x14ac:dyDescent="0.25">
      <c r="A354" s="20">
        <v>43249</v>
      </c>
      <c r="B354" s="21">
        <v>15.08</v>
      </c>
    </row>
    <row r="355" spans="1:2" x14ac:dyDescent="0.25">
      <c r="A355" s="20">
        <v>43250</v>
      </c>
      <c r="B355" s="21">
        <v>15.515000000000001</v>
      </c>
    </row>
    <row r="356" spans="1:2" x14ac:dyDescent="0.25">
      <c r="A356" s="20">
        <v>43251</v>
      </c>
      <c r="B356" s="21">
        <v>15.904999999999999</v>
      </c>
    </row>
    <row r="357" spans="1:2" x14ac:dyDescent="0.25">
      <c r="A357" s="20">
        <v>43252</v>
      </c>
      <c r="B357" s="21">
        <v>16.239999999999998</v>
      </c>
    </row>
    <row r="358" spans="1:2" x14ac:dyDescent="0.25">
      <c r="A358" s="20">
        <v>43255</v>
      </c>
      <c r="B358" s="21">
        <v>15.715</v>
      </c>
    </row>
    <row r="359" spans="1:2" x14ac:dyDescent="0.25">
      <c r="A359" s="20">
        <v>43256</v>
      </c>
      <c r="B359" s="21">
        <v>15.324999999999999</v>
      </c>
    </row>
    <row r="360" spans="1:2" x14ac:dyDescent="0.25">
      <c r="A360" s="20">
        <v>43257</v>
      </c>
      <c r="B360" s="21">
        <v>15.42</v>
      </c>
    </row>
    <row r="361" spans="1:2" x14ac:dyDescent="0.25">
      <c r="A361" s="20">
        <v>43258</v>
      </c>
      <c r="B361" s="21">
        <v>15.47</v>
      </c>
    </row>
    <row r="362" spans="1:2" x14ac:dyDescent="0.25">
      <c r="A362" s="20">
        <v>43259</v>
      </c>
      <c r="B362" s="21">
        <v>15.19</v>
      </c>
    </row>
    <row r="363" spans="1:2" x14ac:dyDescent="0.25">
      <c r="A363" s="20">
        <v>43262</v>
      </c>
      <c r="B363" s="21">
        <v>15.125</v>
      </c>
    </row>
    <row r="364" spans="1:2" x14ac:dyDescent="0.25">
      <c r="A364" s="20">
        <v>43263</v>
      </c>
      <c r="B364" s="21">
        <v>14.975</v>
      </c>
    </row>
    <row r="365" spans="1:2" x14ac:dyDescent="0.25">
      <c r="A365" s="20">
        <v>43264</v>
      </c>
      <c r="B365" s="21">
        <v>14.97</v>
      </c>
    </row>
    <row r="366" spans="1:2" x14ac:dyDescent="0.25">
      <c r="A366" s="20">
        <v>43265</v>
      </c>
      <c r="B366" s="21">
        <v>14.99</v>
      </c>
    </row>
    <row r="367" spans="1:2" x14ac:dyDescent="0.25">
      <c r="A367" s="20">
        <v>43266</v>
      </c>
      <c r="B367" s="21">
        <v>14.285</v>
      </c>
    </row>
    <row r="368" spans="1:2" x14ac:dyDescent="0.25">
      <c r="A368" s="20">
        <v>43269</v>
      </c>
      <c r="B368" s="21">
        <v>14.425000000000001</v>
      </c>
    </row>
    <row r="369" spans="1:2" x14ac:dyDescent="0.25">
      <c r="A369" s="20">
        <v>43270</v>
      </c>
      <c r="B369" s="21">
        <v>14.16</v>
      </c>
    </row>
    <row r="370" spans="1:2" x14ac:dyDescent="0.25">
      <c r="A370" s="20">
        <v>43271</v>
      </c>
      <c r="B370" s="21">
        <v>14.11</v>
      </c>
    </row>
    <row r="371" spans="1:2" x14ac:dyDescent="0.25">
      <c r="A371" s="20">
        <v>43272</v>
      </c>
      <c r="B371" s="21">
        <v>13.8</v>
      </c>
    </row>
    <row r="372" spans="1:2" x14ac:dyDescent="0.25">
      <c r="A372" s="20">
        <v>43273</v>
      </c>
      <c r="B372" s="21">
        <v>14.345000000000001</v>
      </c>
    </row>
    <row r="373" spans="1:2" x14ac:dyDescent="0.25">
      <c r="A373" s="20">
        <v>43276</v>
      </c>
      <c r="B373" s="21">
        <v>13.97</v>
      </c>
    </row>
    <row r="374" spans="1:2" x14ac:dyDescent="0.25">
      <c r="A374" s="20">
        <v>43277</v>
      </c>
      <c r="B374" s="21">
        <v>14.685</v>
      </c>
    </row>
    <row r="375" spans="1:2" x14ac:dyDescent="0.25">
      <c r="A375" s="20">
        <v>43278</v>
      </c>
      <c r="B375" s="21">
        <v>15.23</v>
      </c>
    </row>
    <row r="376" spans="1:2" x14ac:dyDescent="0.25">
      <c r="A376" s="20">
        <v>43279</v>
      </c>
      <c r="B376" s="21">
        <v>15.17</v>
      </c>
    </row>
    <row r="377" spans="1:2" x14ac:dyDescent="0.25">
      <c r="A377" s="20">
        <v>43280</v>
      </c>
      <c r="B377" s="21">
        <v>15.07</v>
      </c>
    </row>
    <row r="378" spans="1:2" x14ac:dyDescent="0.25">
      <c r="A378" s="20">
        <v>43283</v>
      </c>
      <c r="B378" s="21">
        <v>14.97</v>
      </c>
    </row>
    <row r="379" spans="1:2" x14ac:dyDescent="0.25">
      <c r="A379" s="20">
        <v>43284</v>
      </c>
      <c r="B379" s="21">
        <v>15.24</v>
      </c>
    </row>
    <row r="380" spans="1:2" x14ac:dyDescent="0.25">
      <c r="A380" s="20">
        <v>43285</v>
      </c>
      <c r="B380" s="21">
        <v>14.895</v>
      </c>
    </row>
    <row r="381" spans="1:2" x14ac:dyDescent="0.25">
      <c r="A381" s="20">
        <v>43286</v>
      </c>
      <c r="B381" s="21">
        <v>15.005000000000001</v>
      </c>
    </row>
    <row r="382" spans="1:2" x14ac:dyDescent="0.25">
      <c r="A382" s="20">
        <v>43287</v>
      </c>
      <c r="B382" s="21">
        <v>14.574999999999999</v>
      </c>
    </row>
    <row r="383" spans="1:2" x14ac:dyDescent="0.25">
      <c r="A383" s="20">
        <v>43290</v>
      </c>
      <c r="B383" s="21">
        <v>15.22</v>
      </c>
    </row>
    <row r="384" spans="1:2" x14ac:dyDescent="0.25">
      <c r="A384" s="20">
        <v>43291</v>
      </c>
      <c r="B384" s="21">
        <v>15.87</v>
      </c>
    </row>
    <row r="385" spans="1:2" x14ac:dyDescent="0.25">
      <c r="A385" s="20">
        <v>43292</v>
      </c>
      <c r="B385" s="21">
        <v>15.555</v>
      </c>
    </row>
    <row r="386" spans="1:2" x14ac:dyDescent="0.25">
      <c r="A386" s="20">
        <v>43293</v>
      </c>
      <c r="B386" s="21">
        <v>15.64</v>
      </c>
    </row>
    <row r="387" spans="1:2" x14ac:dyDescent="0.25">
      <c r="A387" s="20">
        <v>43294</v>
      </c>
      <c r="B387" s="21">
        <v>15.5</v>
      </c>
    </row>
    <row r="388" spans="1:2" x14ac:dyDescent="0.25">
      <c r="A388" s="20">
        <v>43297</v>
      </c>
      <c r="B388" s="21">
        <v>15.35</v>
      </c>
    </row>
    <row r="389" spans="1:2" x14ac:dyDescent="0.25">
      <c r="A389" s="20">
        <v>43298</v>
      </c>
      <c r="B389" s="21">
        <v>16.024999999999999</v>
      </c>
    </row>
    <row r="390" spans="1:2" x14ac:dyDescent="0.25">
      <c r="A390" s="20">
        <v>43299</v>
      </c>
      <c r="B390" s="21">
        <v>15.315</v>
      </c>
    </row>
    <row r="391" spans="1:2" x14ac:dyDescent="0.25">
      <c r="A391" s="20">
        <v>43300</v>
      </c>
      <c r="B391" s="21">
        <v>15.425000000000001</v>
      </c>
    </row>
    <row r="392" spans="1:2" x14ac:dyDescent="0.25">
      <c r="A392" s="20">
        <v>43301</v>
      </c>
      <c r="B392" s="21">
        <v>15.484999999999999</v>
      </c>
    </row>
    <row r="393" spans="1:2" x14ac:dyDescent="0.25">
      <c r="A393" s="20">
        <v>43304</v>
      </c>
      <c r="B393" s="21">
        <v>15.285</v>
      </c>
    </row>
    <row r="394" spans="1:2" x14ac:dyDescent="0.25">
      <c r="A394" s="20">
        <v>43305</v>
      </c>
      <c r="B394" s="21">
        <v>15.425000000000001</v>
      </c>
    </row>
    <row r="395" spans="1:2" x14ac:dyDescent="0.25">
      <c r="A395" s="20">
        <v>43306</v>
      </c>
      <c r="B395" s="21">
        <v>15.34</v>
      </c>
    </row>
    <row r="396" spans="1:2" x14ac:dyDescent="0.25">
      <c r="A396" s="20">
        <v>43307</v>
      </c>
      <c r="B396" s="21">
        <v>15.61</v>
      </c>
    </row>
    <row r="397" spans="1:2" x14ac:dyDescent="0.25">
      <c r="A397" s="20">
        <v>43308</v>
      </c>
      <c r="B397" s="21">
        <v>15.87</v>
      </c>
    </row>
    <row r="398" spans="1:2" x14ac:dyDescent="0.25">
      <c r="A398" s="20">
        <v>43311</v>
      </c>
      <c r="B398" s="21">
        <v>16</v>
      </c>
    </row>
    <row r="399" spans="1:2" x14ac:dyDescent="0.25">
      <c r="A399" s="20">
        <v>43312</v>
      </c>
      <c r="B399" s="21">
        <v>17.274999999999999</v>
      </c>
    </row>
    <row r="400" spans="1:2" x14ac:dyDescent="0.25">
      <c r="A400" s="20">
        <v>43313</v>
      </c>
      <c r="B400" s="21">
        <v>17.670000000000002</v>
      </c>
    </row>
    <row r="401" spans="1:2" x14ac:dyDescent="0.25">
      <c r="A401" s="20">
        <v>43314</v>
      </c>
      <c r="B401" s="21">
        <v>17.465</v>
      </c>
    </row>
    <row r="402" spans="1:2" x14ac:dyDescent="0.25">
      <c r="A402" s="20">
        <v>43315</v>
      </c>
      <c r="B402" s="21">
        <v>17.45</v>
      </c>
    </row>
    <row r="403" spans="1:2" x14ac:dyDescent="0.25">
      <c r="A403" s="20">
        <v>43318</v>
      </c>
      <c r="B403" s="21">
        <v>17.625</v>
      </c>
    </row>
    <row r="404" spans="1:2" x14ac:dyDescent="0.25">
      <c r="A404" s="20">
        <v>43319</v>
      </c>
      <c r="B404" s="21">
        <v>18.344999999999999</v>
      </c>
    </row>
    <row r="405" spans="1:2" x14ac:dyDescent="0.25">
      <c r="A405" s="20">
        <v>43320</v>
      </c>
      <c r="B405" s="21">
        <v>18.07</v>
      </c>
    </row>
    <row r="406" spans="1:2" x14ac:dyDescent="0.25">
      <c r="A406" s="20">
        <v>43321</v>
      </c>
      <c r="B406" s="21">
        <v>18.015000000000001</v>
      </c>
    </row>
    <row r="407" spans="1:2" x14ac:dyDescent="0.25">
      <c r="A407" s="20">
        <v>43322</v>
      </c>
      <c r="B407" s="21">
        <v>18.02</v>
      </c>
    </row>
    <row r="408" spans="1:2" x14ac:dyDescent="0.25">
      <c r="A408" s="20">
        <v>43325</v>
      </c>
      <c r="B408" s="21">
        <v>18.420000000000002</v>
      </c>
    </row>
    <row r="409" spans="1:2" x14ac:dyDescent="0.25">
      <c r="A409" s="20">
        <v>43326</v>
      </c>
      <c r="B409" s="21">
        <v>18.5</v>
      </c>
    </row>
    <row r="410" spans="1:2" x14ac:dyDescent="0.25">
      <c r="A410" s="20">
        <v>43327</v>
      </c>
      <c r="B410" s="21">
        <v>18.75</v>
      </c>
    </row>
    <row r="411" spans="1:2" x14ac:dyDescent="0.25">
      <c r="A411" s="20">
        <v>43328</v>
      </c>
      <c r="B411" s="21">
        <v>18.57</v>
      </c>
    </row>
    <row r="412" spans="1:2" x14ac:dyDescent="0.25">
      <c r="A412" s="20">
        <v>43329</v>
      </c>
      <c r="B412" s="21">
        <v>17.305</v>
      </c>
    </row>
    <row r="413" spans="1:2" x14ac:dyDescent="0.25">
      <c r="A413" s="20">
        <v>43332</v>
      </c>
      <c r="B413" s="21">
        <v>17.274999999999999</v>
      </c>
    </row>
    <row r="414" spans="1:2" x14ac:dyDescent="0.25">
      <c r="A414" s="20">
        <v>43333</v>
      </c>
      <c r="B414" s="21">
        <v>17.190000000000001</v>
      </c>
    </row>
    <row r="415" spans="1:2" x14ac:dyDescent="0.25">
      <c r="A415" s="20">
        <v>43334</v>
      </c>
      <c r="B415" s="21">
        <v>17.170000000000002</v>
      </c>
    </row>
    <row r="416" spans="1:2" x14ac:dyDescent="0.25">
      <c r="A416" s="20">
        <v>43335</v>
      </c>
      <c r="B416" s="21">
        <v>17.105</v>
      </c>
    </row>
    <row r="417" spans="1:2" x14ac:dyDescent="0.25">
      <c r="A417" s="20">
        <v>43336</v>
      </c>
      <c r="B417" s="21">
        <v>17.28</v>
      </c>
    </row>
    <row r="418" spans="1:2" x14ac:dyDescent="0.25">
      <c r="A418" s="20">
        <v>43339</v>
      </c>
      <c r="B418" s="21">
        <v>17.170000000000002</v>
      </c>
    </row>
    <row r="419" spans="1:2" x14ac:dyDescent="0.25">
      <c r="A419" s="20">
        <v>43340</v>
      </c>
      <c r="B419" s="21">
        <v>16.445</v>
      </c>
    </row>
    <row r="420" spans="1:2" x14ac:dyDescent="0.25">
      <c r="A420" s="20">
        <v>43341</v>
      </c>
      <c r="B420" s="21">
        <v>16.515000000000001</v>
      </c>
    </row>
    <row r="421" spans="1:2" x14ac:dyDescent="0.25">
      <c r="A421" s="20">
        <v>43342</v>
      </c>
      <c r="B421" s="21">
        <v>16.475000000000001</v>
      </c>
    </row>
    <row r="422" spans="1:2" x14ac:dyDescent="0.25">
      <c r="A422" s="20">
        <v>43343</v>
      </c>
      <c r="B422" s="21">
        <v>16.265000000000001</v>
      </c>
    </row>
    <row r="423" spans="1:2" x14ac:dyDescent="0.25">
      <c r="A423" s="20">
        <v>43346</v>
      </c>
      <c r="B423" s="21">
        <v>16.53</v>
      </c>
    </row>
    <row r="424" spans="1:2" x14ac:dyDescent="0.25">
      <c r="A424" s="20">
        <v>43347</v>
      </c>
      <c r="B424" s="21">
        <v>16.335000000000001</v>
      </c>
    </row>
    <row r="425" spans="1:2" x14ac:dyDescent="0.25">
      <c r="A425" s="20">
        <v>43348</v>
      </c>
      <c r="B425" s="21">
        <v>15.81</v>
      </c>
    </row>
    <row r="426" spans="1:2" x14ac:dyDescent="0.25">
      <c r="A426" s="20">
        <v>43349</v>
      </c>
      <c r="B426" s="21">
        <v>15.574999999999999</v>
      </c>
    </row>
    <row r="427" spans="1:2" x14ac:dyDescent="0.25">
      <c r="A427" s="20">
        <v>43350</v>
      </c>
      <c r="B427" s="21">
        <v>15.324999999999999</v>
      </c>
    </row>
    <row r="428" spans="1:2" x14ac:dyDescent="0.25">
      <c r="A428" s="20">
        <v>43353</v>
      </c>
      <c r="B428" s="21">
        <v>15.19</v>
      </c>
    </row>
    <row r="429" spans="1:2" x14ac:dyDescent="0.25">
      <c r="A429" s="20">
        <v>43354</v>
      </c>
      <c r="B429" s="21">
        <v>15.35</v>
      </c>
    </row>
    <row r="430" spans="1:2" x14ac:dyDescent="0.25">
      <c r="A430" s="20">
        <v>43355</v>
      </c>
      <c r="B430" s="21">
        <v>15.615</v>
      </c>
    </row>
    <row r="431" spans="1:2" x14ac:dyDescent="0.25">
      <c r="A431" s="20">
        <v>43356</v>
      </c>
      <c r="B431" s="21">
        <v>15.48</v>
      </c>
    </row>
    <row r="432" spans="1:2" x14ac:dyDescent="0.25">
      <c r="A432" s="20">
        <v>43357</v>
      </c>
      <c r="B432" s="21">
        <v>15.29</v>
      </c>
    </row>
    <row r="433" spans="1:2" x14ac:dyDescent="0.25">
      <c r="A433" s="20">
        <v>43360</v>
      </c>
      <c r="B433" s="21">
        <v>15.285</v>
      </c>
    </row>
    <row r="434" spans="1:2" x14ac:dyDescent="0.25">
      <c r="A434" s="20">
        <v>43361</v>
      </c>
      <c r="B434" s="21">
        <v>15.215</v>
      </c>
    </row>
    <row r="435" spans="1:2" x14ac:dyDescent="0.25">
      <c r="A435" s="20">
        <v>43362</v>
      </c>
      <c r="B435" s="21">
        <v>15.7</v>
      </c>
    </row>
    <row r="436" spans="1:2" x14ac:dyDescent="0.25">
      <c r="A436" s="20">
        <v>43363</v>
      </c>
      <c r="B436" s="21">
        <v>15.45</v>
      </c>
    </row>
    <row r="437" spans="1:2" x14ac:dyDescent="0.25">
      <c r="A437" s="20">
        <v>43364</v>
      </c>
      <c r="B437" s="21">
        <v>15.47</v>
      </c>
    </row>
    <row r="438" spans="1:2" x14ac:dyDescent="0.25">
      <c r="A438" s="20">
        <v>43367</v>
      </c>
      <c r="B438" s="21">
        <v>16.2</v>
      </c>
    </row>
    <row r="439" spans="1:2" x14ac:dyDescent="0.25">
      <c r="A439" s="20">
        <v>43368</v>
      </c>
      <c r="B439" s="21">
        <v>16.21</v>
      </c>
    </row>
    <row r="440" spans="1:2" x14ac:dyDescent="0.25">
      <c r="A440" s="20">
        <v>43369</v>
      </c>
      <c r="B440" s="21">
        <v>16.684999999999999</v>
      </c>
    </row>
    <row r="441" spans="1:2" x14ac:dyDescent="0.25">
      <c r="A441" s="20">
        <v>43370</v>
      </c>
      <c r="B441" s="21">
        <v>16.725000000000001</v>
      </c>
    </row>
    <row r="442" spans="1:2" x14ac:dyDescent="0.25">
      <c r="A442" s="20">
        <v>43371</v>
      </c>
      <c r="B442" s="21">
        <v>16.824999999999999</v>
      </c>
    </row>
    <row r="443" spans="1:2" x14ac:dyDescent="0.25">
      <c r="A443" s="20">
        <v>43374</v>
      </c>
      <c r="B443" s="21">
        <v>17.215</v>
      </c>
    </row>
    <row r="444" spans="1:2" x14ac:dyDescent="0.25">
      <c r="A444" s="20">
        <v>43375</v>
      </c>
      <c r="B444" s="21">
        <v>17.254999999999999</v>
      </c>
    </row>
    <row r="445" spans="1:2" x14ac:dyDescent="0.25">
      <c r="A445" s="20">
        <v>43376</v>
      </c>
      <c r="B445" s="21">
        <v>17.149999999999999</v>
      </c>
    </row>
    <row r="446" spans="1:2" x14ac:dyDescent="0.25">
      <c r="A446" s="20">
        <v>43377</v>
      </c>
      <c r="B446" s="21">
        <v>16.824999999999999</v>
      </c>
    </row>
    <row r="447" spans="1:2" x14ac:dyDescent="0.25">
      <c r="A447" s="20">
        <v>43378</v>
      </c>
      <c r="B447" s="21">
        <v>16.77</v>
      </c>
    </row>
    <row r="448" spans="1:2" x14ac:dyDescent="0.25">
      <c r="A448" s="20">
        <v>43381</v>
      </c>
      <c r="B448" s="21">
        <v>16.100000000000001</v>
      </c>
    </row>
    <row r="449" spans="1:2" x14ac:dyDescent="0.25">
      <c r="A449" s="20">
        <v>43382</v>
      </c>
      <c r="B449" s="21">
        <v>16.7</v>
      </c>
    </row>
    <row r="450" spans="1:2" x14ac:dyDescent="0.25">
      <c r="A450" s="20">
        <v>43383</v>
      </c>
      <c r="B450" s="21">
        <v>16.41</v>
      </c>
    </row>
    <row r="451" spans="1:2" x14ac:dyDescent="0.25">
      <c r="A451" s="20">
        <v>43384</v>
      </c>
      <c r="B451" s="21">
        <v>15.45</v>
      </c>
    </row>
    <row r="452" spans="1:2" x14ac:dyDescent="0.25">
      <c r="A452" s="20">
        <v>43385</v>
      </c>
      <c r="B452" s="21">
        <v>15.56</v>
      </c>
    </row>
    <row r="453" spans="1:2" x14ac:dyDescent="0.25">
      <c r="A453" s="20">
        <v>43388</v>
      </c>
      <c r="B453" s="21">
        <v>16.28</v>
      </c>
    </row>
    <row r="454" spans="1:2" x14ac:dyDescent="0.25">
      <c r="A454" s="20">
        <v>43389</v>
      </c>
      <c r="B454" s="21">
        <v>16.734999999999999</v>
      </c>
    </row>
    <row r="455" spans="1:2" x14ac:dyDescent="0.25">
      <c r="A455" s="20">
        <v>43390</v>
      </c>
      <c r="B455" s="21">
        <v>16.725000000000001</v>
      </c>
    </row>
    <row r="456" spans="1:2" x14ac:dyDescent="0.25">
      <c r="A456" s="20">
        <v>43391</v>
      </c>
      <c r="B456" s="21">
        <v>15.87</v>
      </c>
    </row>
    <row r="457" spans="1:2" x14ac:dyDescent="0.25">
      <c r="A457" s="20">
        <v>43392</v>
      </c>
      <c r="B457" s="21">
        <v>16.565000000000001</v>
      </c>
    </row>
    <row r="458" spans="1:2" x14ac:dyDescent="0.25">
      <c r="A458" s="20">
        <v>43395</v>
      </c>
      <c r="B458" s="21">
        <v>15.855</v>
      </c>
    </row>
    <row r="459" spans="1:2" x14ac:dyDescent="0.25">
      <c r="A459" s="20">
        <v>43396</v>
      </c>
      <c r="B459" s="21">
        <v>15.035</v>
      </c>
    </row>
    <row r="460" spans="1:2" x14ac:dyDescent="0.25">
      <c r="A460" s="20">
        <v>43397</v>
      </c>
      <c r="B460" s="21">
        <v>15.18</v>
      </c>
    </row>
    <row r="461" spans="1:2" x14ac:dyDescent="0.25">
      <c r="A461" s="20">
        <v>43398</v>
      </c>
      <c r="B461" s="21">
        <v>15.27</v>
      </c>
    </row>
    <row r="462" spans="1:2" x14ac:dyDescent="0.25">
      <c r="A462" s="20">
        <v>43399</v>
      </c>
      <c r="B462" s="21">
        <v>14.77</v>
      </c>
    </row>
    <row r="463" spans="1:2" x14ac:dyDescent="0.25">
      <c r="A463" s="20">
        <v>43402</v>
      </c>
      <c r="B463" s="21">
        <v>15.385</v>
      </c>
    </row>
    <row r="464" spans="1:2" x14ac:dyDescent="0.25">
      <c r="A464" s="20">
        <v>43403</v>
      </c>
      <c r="B464" s="21">
        <v>15.994999999999999</v>
      </c>
    </row>
    <row r="465" spans="1:2" x14ac:dyDescent="0.25">
      <c r="A465" s="20">
        <v>43404</v>
      </c>
      <c r="B465" s="21">
        <v>16.23</v>
      </c>
    </row>
    <row r="466" spans="1:2" x14ac:dyDescent="0.25">
      <c r="A466" s="20">
        <v>43405</v>
      </c>
      <c r="B466" s="21">
        <v>15.82</v>
      </c>
    </row>
    <row r="467" spans="1:2" x14ac:dyDescent="0.25">
      <c r="A467" s="20">
        <v>43406</v>
      </c>
      <c r="B467" s="21">
        <v>15.984999999999999</v>
      </c>
    </row>
    <row r="468" spans="1:2" x14ac:dyDescent="0.25">
      <c r="A468" s="20">
        <v>43409</v>
      </c>
      <c r="B468" s="21">
        <v>16.239999999999998</v>
      </c>
    </row>
    <row r="469" spans="1:2" x14ac:dyDescent="0.25">
      <c r="A469" s="20">
        <v>43410</v>
      </c>
      <c r="B469" s="21">
        <v>16.2</v>
      </c>
    </row>
    <row r="470" spans="1:2" x14ac:dyDescent="0.25">
      <c r="A470" s="20">
        <v>43411</v>
      </c>
      <c r="B470" s="21">
        <v>16.324999999999999</v>
      </c>
    </row>
    <row r="471" spans="1:2" x14ac:dyDescent="0.25">
      <c r="A471" s="20">
        <v>43412</v>
      </c>
      <c r="B471" s="21">
        <v>15.91</v>
      </c>
    </row>
    <row r="472" spans="1:2" x14ac:dyDescent="0.25">
      <c r="A472" s="20">
        <v>43413</v>
      </c>
      <c r="B472" s="21">
        <v>15.54</v>
      </c>
    </row>
    <row r="473" spans="1:2" x14ac:dyDescent="0.25">
      <c r="A473" s="20">
        <v>43416</v>
      </c>
      <c r="B473" s="21">
        <v>15.975</v>
      </c>
    </row>
    <row r="474" spans="1:2" x14ac:dyDescent="0.25">
      <c r="A474" s="20">
        <v>43417</v>
      </c>
      <c r="B474" s="21">
        <v>14.324999999999999</v>
      </c>
    </row>
    <row r="475" spans="1:2" x14ac:dyDescent="0.25">
      <c r="A475" s="20">
        <v>43418</v>
      </c>
      <c r="B475" s="21">
        <v>14.505000000000001</v>
      </c>
    </row>
    <row r="476" spans="1:2" x14ac:dyDescent="0.25">
      <c r="A476" s="20">
        <v>43419</v>
      </c>
      <c r="B476" s="21">
        <v>14.005000000000001</v>
      </c>
    </row>
    <row r="477" spans="1:2" x14ac:dyDescent="0.25">
      <c r="A477" s="20">
        <v>43420</v>
      </c>
      <c r="B477" s="21">
        <v>14.455</v>
      </c>
    </row>
    <row r="478" spans="1:2" x14ac:dyDescent="0.25">
      <c r="A478" s="20">
        <v>43423</v>
      </c>
      <c r="B478" s="21">
        <v>14.005000000000001</v>
      </c>
    </row>
    <row r="479" spans="1:2" x14ac:dyDescent="0.25">
      <c r="A479" s="20">
        <v>43424</v>
      </c>
      <c r="B479" s="21">
        <v>13.31</v>
      </c>
    </row>
    <row r="480" spans="1:2" x14ac:dyDescent="0.25">
      <c r="A480" s="20">
        <v>43425</v>
      </c>
      <c r="B480" s="21">
        <v>13.795</v>
      </c>
    </row>
    <row r="481" spans="1:2" x14ac:dyDescent="0.25">
      <c r="A481" s="20">
        <v>43426</v>
      </c>
      <c r="B481" s="21">
        <v>13.53</v>
      </c>
    </row>
    <row r="482" spans="1:2" x14ac:dyDescent="0.25">
      <c r="A482" s="20">
        <v>43427</v>
      </c>
      <c r="B482" s="21">
        <v>12.965</v>
      </c>
    </row>
    <row r="483" spans="1:2" x14ac:dyDescent="0.25">
      <c r="A483" s="20">
        <v>43430</v>
      </c>
      <c r="B483" s="21">
        <v>13.42</v>
      </c>
    </row>
    <row r="484" spans="1:2" x14ac:dyDescent="0.25">
      <c r="A484" s="20">
        <v>43431</v>
      </c>
      <c r="B484" s="21">
        <v>13.52</v>
      </c>
    </row>
    <row r="485" spans="1:2" x14ac:dyDescent="0.25">
      <c r="A485" s="20">
        <v>43432</v>
      </c>
      <c r="B485" s="21">
        <v>13.99</v>
      </c>
    </row>
    <row r="486" spans="1:2" x14ac:dyDescent="0.25">
      <c r="A486" s="20">
        <v>43433</v>
      </c>
      <c r="B486" s="21">
        <v>14.574999999999999</v>
      </c>
    </row>
    <row r="487" spans="1:2" x14ac:dyDescent="0.25">
      <c r="A487" s="20">
        <v>43434</v>
      </c>
      <c r="B487" s="21">
        <v>14.43</v>
      </c>
    </row>
    <row r="488" spans="1:2" x14ac:dyDescent="0.25">
      <c r="A488" s="20">
        <v>43437</v>
      </c>
      <c r="B488" s="21">
        <v>15.33</v>
      </c>
    </row>
    <row r="489" spans="1:2" x14ac:dyDescent="0.25">
      <c r="A489" s="20">
        <v>43438</v>
      </c>
      <c r="B489" s="21">
        <v>15.195</v>
      </c>
    </row>
    <row r="490" spans="1:2" x14ac:dyDescent="0.25">
      <c r="A490" s="20">
        <v>43439</v>
      </c>
      <c r="B490" s="21">
        <v>15.035</v>
      </c>
    </row>
    <row r="491" spans="1:2" x14ac:dyDescent="0.25">
      <c r="A491" s="20">
        <v>43440</v>
      </c>
      <c r="B491" s="21">
        <v>14.15</v>
      </c>
    </row>
    <row r="492" spans="1:2" x14ac:dyDescent="0.25">
      <c r="A492" s="20">
        <v>43441</v>
      </c>
      <c r="B492" s="21">
        <v>14.85</v>
      </c>
    </row>
    <row r="493" spans="1:2" x14ac:dyDescent="0.25">
      <c r="A493" s="20">
        <v>43444</v>
      </c>
      <c r="B493" s="21">
        <v>14.11</v>
      </c>
    </row>
    <row r="494" spans="1:2" x14ac:dyDescent="0.25">
      <c r="A494" s="20">
        <v>43445</v>
      </c>
      <c r="B494" s="21">
        <v>14.18</v>
      </c>
    </row>
    <row r="495" spans="1:2" x14ac:dyDescent="0.25">
      <c r="A495" s="20">
        <v>43446</v>
      </c>
      <c r="B495" s="21">
        <v>14.535</v>
      </c>
    </row>
    <row r="496" spans="1:2" x14ac:dyDescent="0.25">
      <c r="A496" s="20">
        <v>43447</v>
      </c>
      <c r="B496" s="21">
        <v>14.14</v>
      </c>
    </row>
    <row r="497" spans="1:2" x14ac:dyDescent="0.25">
      <c r="A497" s="20">
        <v>43448</v>
      </c>
      <c r="B497" s="21">
        <v>14.154999999999999</v>
      </c>
    </row>
    <row r="498" spans="1:2" x14ac:dyDescent="0.25">
      <c r="A498" s="20">
        <v>43451</v>
      </c>
      <c r="B498" s="21">
        <v>13.64</v>
      </c>
    </row>
    <row r="499" spans="1:2" x14ac:dyDescent="0.25">
      <c r="A499" s="20">
        <v>43452</v>
      </c>
      <c r="B499" s="21">
        <v>13.285</v>
      </c>
    </row>
    <row r="500" spans="1:2" x14ac:dyDescent="0.25">
      <c r="A500" s="20">
        <v>43453</v>
      </c>
      <c r="B500" s="21">
        <v>13.26</v>
      </c>
    </row>
    <row r="501" spans="1:2" x14ac:dyDescent="0.25">
      <c r="A501" s="20">
        <v>43454</v>
      </c>
      <c r="B501" s="21">
        <v>12.695</v>
      </c>
    </row>
    <row r="502" spans="1:2" x14ac:dyDescent="0.25">
      <c r="A502" s="20">
        <v>43455</v>
      </c>
      <c r="B502" s="21">
        <v>12.585000000000001</v>
      </c>
    </row>
    <row r="503" spans="1:2" x14ac:dyDescent="0.25">
      <c r="A503" s="20">
        <v>43461</v>
      </c>
      <c r="B503" s="21">
        <v>12.23</v>
      </c>
    </row>
    <row r="504" spans="1:2" x14ac:dyDescent="0.25">
      <c r="A504" s="20">
        <v>43462</v>
      </c>
      <c r="B504" s="21">
        <v>12.55</v>
      </c>
    </row>
    <row r="505" spans="1:2" x14ac:dyDescent="0.25">
      <c r="A505" s="20">
        <v>43467</v>
      </c>
      <c r="B505" s="21">
        <v>12.99</v>
      </c>
    </row>
    <row r="506" spans="1:2" x14ac:dyDescent="0.25">
      <c r="A506" s="20">
        <v>43468</v>
      </c>
      <c r="B506" s="21">
        <v>13.65</v>
      </c>
    </row>
    <row r="507" spans="1:2" x14ac:dyDescent="0.25">
      <c r="A507" s="20">
        <v>43469</v>
      </c>
      <c r="B507" s="21">
        <v>14.34</v>
      </c>
    </row>
    <row r="508" spans="1:2" x14ac:dyDescent="0.25">
      <c r="A508" s="20">
        <v>43472</v>
      </c>
      <c r="B508" s="21">
        <v>14.45</v>
      </c>
    </row>
    <row r="509" spans="1:2" x14ac:dyDescent="0.25">
      <c r="A509" s="20">
        <v>43473</v>
      </c>
      <c r="B509" s="21">
        <v>14.4</v>
      </c>
    </row>
    <row r="510" spans="1:2" x14ac:dyDescent="0.25">
      <c r="A510" s="20">
        <v>43474</v>
      </c>
      <c r="B510" s="21">
        <v>15.145</v>
      </c>
    </row>
    <row r="511" spans="1:2" x14ac:dyDescent="0.25">
      <c r="A511" s="20">
        <v>43475</v>
      </c>
      <c r="B511" s="21">
        <v>15.115</v>
      </c>
    </row>
    <row r="512" spans="1:2" x14ac:dyDescent="0.25">
      <c r="A512" s="20">
        <v>43476</v>
      </c>
      <c r="B512" s="21">
        <v>15.09</v>
      </c>
    </row>
    <row r="513" spans="1:2" x14ac:dyDescent="0.25">
      <c r="A513" s="20">
        <v>43479</v>
      </c>
      <c r="B513" s="21">
        <v>15.22</v>
      </c>
    </row>
    <row r="514" spans="1:2" x14ac:dyDescent="0.25">
      <c r="A514" s="20">
        <v>43480</v>
      </c>
      <c r="B514" s="21">
        <v>15.67</v>
      </c>
    </row>
    <row r="515" spans="1:2" x14ac:dyDescent="0.25">
      <c r="A515" s="20">
        <v>43481</v>
      </c>
      <c r="B515" s="21">
        <v>15.82</v>
      </c>
    </row>
    <row r="516" spans="1:2" x14ac:dyDescent="0.25">
      <c r="A516" s="20">
        <v>43482</v>
      </c>
      <c r="B516" s="21">
        <v>15.84</v>
      </c>
    </row>
    <row r="517" spans="1:2" x14ac:dyDescent="0.25">
      <c r="A517" s="20">
        <v>43483</v>
      </c>
      <c r="B517" s="21">
        <v>16.125</v>
      </c>
    </row>
    <row r="518" spans="1:2" x14ac:dyDescent="0.25">
      <c r="A518" s="20">
        <v>43486</v>
      </c>
      <c r="B518" s="21">
        <v>16.510000000000002</v>
      </c>
    </row>
    <row r="519" spans="1:2" x14ac:dyDescent="0.25">
      <c r="A519" s="20">
        <v>43487</v>
      </c>
      <c r="B519" s="21">
        <v>16.215</v>
      </c>
    </row>
    <row r="520" spans="1:2" x14ac:dyDescent="0.25">
      <c r="A520" s="20">
        <v>43488</v>
      </c>
      <c r="B520" s="21">
        <v>16.059999999999999</v>
      </c>
    </row>
    <row r="521" spans="1:2" x14ac:dyDescent="0.25">
      <c r="A521" s="20">
        <v>43489</v>
      </c>
      <c r="B521" s="21">
        <v>16.105</v>
      </c>
    </row>
    <row r="522" spans="1:2" x14ac:dyDescent="0.25">
      <c r="A522" s="20">
        <v>43490</v>
      </c>
      <c r="B522" s="21">
        <v>16.239999999999998</v>
      </c>
    </row>
    <row r="523" spans="1:2" x14ac:dyDescent="0.25">
      <c r="A523" s="20">
        <v>43493</v>
      </c>
      <c r="B523" s="21">
        <v>15.76</v>
      </c>
    </row>
    <row r="524" spans="1:2" x14ac:dyDescent="0.25">
      <c r="A524" s="20">
        <v>43494</v>
      </c>
      <c r="B524" s="21">
        <v>16.125</v>
      </c>
    </row>
    <row r="525" spans="1:2" x14ac:dyDescent="0.25">
      <c r="A525" s="20">
        <v>43495</v>
      </c>
      <c r="B525" s="21">
        <v>16.024999999999999</v>
      </c>
    </row>
    <row r="526" spans="1:2" x14ac:dyDescent="0.25">
      <c r="A526" s="20">
        <v>43496</v>
      </c>
      <c r="B526" s="21">
        <v>16.22</v>
      </c>
    </row>
    <row r="527" spans="1:2" x14ac:dyDescent="0.25">
      <c r="A527" s="20">
        <v>43497</v>
      </c>
      <c r="B527" s="21">
        <v>16.100000000000001</v>
      </c>
    </row>
    <row r="528" spans="1:2" x14ac:dyDescent="0.25">
      <c r="A528" s="20">
        <v>43500</v>
      </c>
      <c r="B528" s="21">
        <v>16.594999999999999</v>
      </c>
    </row>
    <row r="529" spans="1:2" x14ac:dyDescent="0.25">
      <c r="A529" s="20">
        <v>43501</v>
      </c>
      <c r="B529" s="21">
        <v>16.95</v>
      </c>
    </row>
    <row r="530" spans="1:2" x14ac:dyDescent="0.25">
      <c r="A530" s="20">
        <v>43502</v>
      </c>
      <c r="B530" s="21">
        <v>16.899999999999999</v>
      </c>
    </row>
    <row r="531" spans="1:2" x14ac:dyDescent="0.25">
      <c r="A531" s="20">
        <v>43503</v>
      </c>
      <c r="B531" s="21">
        <v>16.940000000000001</v>
      </c>
    </row>
    <row r="532" spans="1:2" x14ac:dyDescent="0.25">
      <c r="A532" s="20">
        <v>43504</v>
      </c>
      <c r="B532" s="21">
        <v>16.675000000000001</v>
      </c>
    </row>
    <row r="533" spans="1:2" x14ac:dyDescent="0.25">
      <c r="A533" s="20">
        <v>43507</v>
      </c>
      <c r="B533" s="21">
        <v>17.559999999999999</v>
      </c>
    </row>
    <row r="534" spans="1:2" x14ac:dyDescent="0.25">
      <c r="A534" s="20">
        <v>43508</v>
      </c>
      <c r="B534" s="21">
        <v>17.98</v>
      </c>
    </row>
    <row r="535" spans="1:2" x14ac:dyDescent="0.25">
      <c r="A535" s="20">
        <v>43509</v>
      </c>
      <c r="B535" s="21">
        <v>18.074999999999999</v>
      </c>
    </row>
    <row r="536" spans="1:2" x14ac:dyDescent="0.25">
      <c r="A536" s="20">
        <v>43510</v>
      </c>
      <c r="B536" s="21">
        <v>17.96</v>
      </c>
    </row>
    <row r="537" spans="1:2" x14ac:dyDescent="0.25">
      <c r="A537" s="20">
        <v>43511</v>
      </c>
      <c r="B537" s="21">
        <v>18.28</v>
      </c>
    </row>
    <row r="538" spans="1:2" x14ac:dyDescent="0.25">
      <c r="A538" s="20">
        <v>43514</v>
      </c>
      <c r="B538" s="21">
        <v>18.170000000000002</v>
      </c>
    </row>
    <row r="539" spans="1:2" x14ac:dyDescent="0.25">
      <c r="A539" s="20">
        <v>43515</v>
      </c>
      <c r="B539" s="21">
        <v>18.204999999999998</v>
      </c>
    </row>
    <row r="540" spans="1:2" x14ac:dyDescent="0.25">
      <c r="A540" s="20">
        <v>43516</v>
      </c>
      <c r="B540" s="21">
        <v>19.149999999999999</v>
      </c>
    </row>
    <row r="541" spans="1:2" x14ac:dyDescent="0.25">
      <c r="A541" s="20">
        <v>43517</v>
      </c>
      <c r="B541" s="21">
        <v>19.05</v>
      </c>
    </row>
    <row r="542" spans="1:2" x14ac:dyDescent="0.25">
      <c r="A542" s="20">
        <v>43518</v>
      </c>
      <c r="B542" s="21">
        <v>19</v>
      </c>
    </row>
    <row r="543" spans="1:2" x14ac:dyDescent="0.25">
      <c r="A543" s="20">
        <v>43521</v>
      </c>
      <c r="B543" s="21">
        <v>18.23</v>
      </c>
    </row>
    <row r="544" spans="1:2" x14ac:dyDescent="0.25">
      <c r="A544" s="20">
        <v>43522</v>
      </c>
      <c r="B544" s="21">
        <v>18.355</v>
      </c>
    </row>
    <row r="545" spans="1:2" x14ac:dyDescent="0.25">
      <c r="A545" s="20">
        <v>43523</v>
      </c>
      <c r="B545" s="21">
        <v>18.565000000000001</v>
      </c>
    </row>
    <row r="546" spans="1:2" x14ac:dyDescent="0.25">
      <c r="A546" s="20">
        <v>43524</v>
      </c>
      <c r="B546" s="21">
        <v>18.204999999999998</v>
      </c>
    </row>
    <row r="547" spans="1:2" x14ac:dyDescent="0.25">
      <c r="A547" s="20">
        <v>43525</v>
      </c>
      <c r="B547" s="21">
        <v>18.035</v>
      </c>
    </row>
    <row r="548" spans="1:2" x14ac:dyDescent="0.25">
      <c r="A548" s="20">
        <v>43528</v>
      </c>
      <c r="B548" s="21">
        <v>18.215</v>
      </c>
    </row>
    <row r="549" spans="1:2" x14ac:dyDescent="0.25">
      <c r="A549" s="20">
        <v>43529</v>
      </c>
      <c r="B549" s="21">
        <v>18.350000000000001</v>
      </c>
    </row>
    <row r="550" spans="1:2" x14ac:dyDescent="0.25">
      <c r="A550" s="20">
        <v>43530</v>
      </c>
      <c r="B550" s="21">
        <v>18.215</v>
      </c>
    </row>
    <row r="551" spans="1:2" x14ac:dyDescent="0.25">
      <c r="A551" s="20">
        <v>43531</v>
      </c>
      <c r="B551" s="21">
        <v>18.125</v>
      </c>
    </row>
    <row r="552" spans="1:2" x14ac:dyDescent="0.25">
      <c r="A552" s="20">
        <v>43532</v>
      </c>
      <c r="B552" s="21">
        <v>17.899999999999999</v>
      </c>
    </row>
    <row r="553" spans="1:2" x14ac:dyDescent="0.25">
      <c r="A553" s="20">
        <v>43535</v>
      </c>
      <c r="B553" s="21">
        <v>18.265000000000001</v>
      </c>
    </row>
    <row r="554" spans="1:2" x14ac:dyDescent="0.25">
      <c r="A554" s="20">
        <v>43536</v>
      </c>
      <c r="B554" s="21">
        <v>18.234999999999999</v>
      </c>
    </row>
    <row r="555" spans="1:2" x14ac:dyDescent="0.25">
      <c r="A555" s="20">
        <v>43537</v>
      </c>
      <c r="B555" s="21">
        <v>18.809999999999999</v>
      </c>
    </row>
    <row r="556" spans="1:2" x14ac:dyDescent="0.25">
      <c r="A556" s="20">
        <v>43538</v>
      </c>
      <c r="B556" s="21">
        <v>19.065000000000001</v>
      </c>
    </row>
    <row r="557" spans="1:2" x14ac:dyDescent="0.25">
      <c r="A557" s="20">
        <v>43539</v>
      </c>
      <c r="B557" s="21">
        <v>18.704999999999998</v>
      </c>
    </row>
    <row r="558" spans="1:2" x14ac:dyDescent="0.25">
      <c r="A558" s="20">
        <v>43542</v>
      </c>
      <c r="B558" s="21">
        <v>18.690000000000001</v>
      </c>
    </row>
    <row r="559" spans="1:2" x14ac:dyDescent="0.25">
      <c r="A559" s="20">
        <v>43543</v>
      </c>
      <c r="B559" s="21">
        <v>18.815000000000001</v>
      </c>
    </row>
    <row r="560" spans="1:2" x14ac:dyDescent="0.25">
      <c r="A560" s="20">
        <v>43544</v>
      </c>
      <c r="B560" s="21">
        <v>19.035</v>
      </c>
    </row>
    <row r="561" spans="1:2" x14ac:dyDescent="0.25">
      <c r="A561" s="20">
        <v>43545</v>
      </c>
      <c r="B561" s="21">
        <v>19.425000000000001</v>
      </c>
    </row>
    <row r="562" spans="1:2" x14ac:dyDescent="0.25">
      <c r="A562" s="20">
        <v>43546</v>
      </c>
      <c r="B562" s="21">
        <v>18.835000000000001</v>
      </c>
    </row>
    <row r="563" spans="1:2" x14ac:dyDescent="0.25">
      <c r="A563" s="20">
        <v>43549</v>
      </c>
      <c r="B563" s="21">
        <v>18.52</v>
      </c>
    </row>
    <row r="564" spans="1:2" x14ac:dyDescent="0.25">
      <c r="A564" s="20">
        <v>43550</v>
      </c>
      <c r="B564" s="21">
        <v>18.89</v>
      </c>
    </row>
    <row r="565" spans="1:2" x14ac:dyDescent="0.25">
      <c r="A565" s="20">
        <v>43551</v>
      </c>
      <c r="B565" s="21">
        <v>18.77</v>
      </c>
    </row>
    <row r="566" spans="1:2" x14ac:dyDescent="0.25">
      <c r="A566" s="20">
        <v>43552</v>
      </c>
      <c r="B566" s="21">
        <v>18.715</v>
      </c>
    </row>
    <row r="567" spans="1:2" x14ac:dyDescent="0.25">
      <c r="A567" s="20">
        <v>43553</v>
      </c>
      <c r="B567" s="21">
        <v>19.149999999999999</v>
      </c>
    </row>
    <row r="568" spans="1:2" x14ac:dyDescent="0.25">
      <c r="A568" s="20">
        <v>43556</v>
      </c>
      <c r="B568" s="21">
        <v>19.43</v>
      </c>
    </row>
    <row r="569" spans="1:2" x14ac:dyDescent="0.25">
      <c r="A569" s="20">
        <v>43557</v>
      </c>
      <c r="B569" s="21">
        <v>19.63</v>
      </c>
    </row>
    <row r="570" spans="1:2" x14ac:dyDescent="0.25">
      <c r="A570" s="20">
        <v>43558</v>
      </c>
      <c r="B570" s="21">
        <v>19.605</v>
      </c>
    </row>
    <row r="571" spans="1:2" x14ac:dyDescent="0.25">
      <c r="A571" s="20">
        <v>43559</v>
      </c>
      <c r="B571" s="21">
        <v>19.594999999999999</v>
      </c>
    </row>
    <row r="572" spans="1:2" x14ac:dyDescent="0.25">
      <c r="A572" s="20">
        <v>43560</v>
      </c>
      <c r="B572" s="21">
        <v>19.600000000000001</v>
      </c>
    </row>
    <row r="573" spans="1:2" x14ac:dyDescent="0.25">
      <c r="A573" s="20">
        <v>43563</v>
      </c>
      <c r="B573" s="21">
        <v>19.850000000000001</v>
      </c>
    </row>
    <row r="574" spans="1:2" x14ac:dyDescent="0.25">
      <c r="A574" s="20">
        <v>43564</v>
      </c>
      <c r="B574" s="21">
        <v>19.190000000000001</v>
      </c>
    </row>
    <row r="575" spans="1:2" x14ac:dyDescent="0.25">
      <c r="A575" s="20">
        <v>43565</v>
      </c>
      <c r="B575" s="21">
        <v>19.48</v>
      </c>
    </row>
    <row r="576" spans="1:2" x14ac:dyDescent="0.25">
      <c r="A576" s="20">
        <v>43566</v>
      </c>
      <c r="B576" s="21">
        <v>19.405000000000001</v>
      </c>
    </row>
    <row r="577" spans="1:2" x14ac:dyDescent="0.25">
      <c r="A577" s="20">
        <v>43567</v>
      </c>
      <c r="B577" s="21">
        <v>19.399999999999999</v>
      </c>
    </row>
    <row r="578" spans="1:2" x14ac:dyDescent="0.25">
      <c r="A578" s="20">
        <v>43570</v>
      </c>
      <c r="B578" s="21">
        <v>19.64</v>
      </c>
    </row>
    <row r="579" spans="1:2" x14ac:dyDescent="0.25">
      <c r="A579" s="20">
        <v>43571</v>
      </c>
      <c r="B579" s="21">
        <v>19.739999999999998</v>
      </c>
    </row>
    <row r="580" spans="1:2" x14ac:dyDescent="0.25">
      <c r="A580" s="20">
        <v>43572</v>
      </c>
      <c r="B580" s="21">
        <v>19.734999999999999</v>
      </c>
    </row>
    <row r="581" spans="1:2" x14ac:dyDescent="0.25">
      <c r="A581" s="20">
        <v>43578</v>
      </c>
      <c r="B581" s="21">
        <v>20.47</v>
      </c>
    </row>
    <row r="582" spans="1:2" x14ac:dyDescent="0.25">
      <c r="A582" s="20">
        <v>43579</v>
      </c>
      <c r="B582" s="21">
        <v>20.23</v>
      </c>
    </row>
    <row r="583" spans="1:2" x14ac:dyDescent="0.25">
      <c r="A583" s="20">
        <v>43580</v>
      </c>
      <c r="B583" s="21">
        <v>20.350000000000001</v>
      </c>
    </row>
    <row r="584" spans="1:2" x14ac:dyDescent="0.25">
      <c r="A584" s="20">
        <v>43581</v>
      </c>
      <c r="B584" s="21">
        <v>19.765000000000001</v>
      </c>
    </row>
    <row r="585" spans="1:2" x14ac:dyDescent="0.25">
      <c r="A585" s="20">
        <v>43584</v>
      </c>
      <c r="B585" s="21">
        <v>19.440000000000001</v>
      </c>
    </row>
    <row r="586" spans="1:2" x14ac:dyDescent="0.25">
      <c r="A586" s="20">
        <v>43585</v>
      </c>
      <c r="B586" s="21">
        <v>19.57</v>
      </c>
    </row>
    <row r="587" spans="1:2" x14ac:dyDescent="0.25">
      <c r="A587" s="20">
        <v>43587</v>
      </c>
      <c r="B587" s="21">
        <v>19</v>
      </c>
    </row>
    <row r="588" spans="1:2" x14ac:dyDescent="0.25">
      <c r="A588" s="20">
        <v>43588</v>
      </c>
      <c r="B588" s="21">
        <v>19.309999999999999</v>
      </c>
    </row>
    <row r="589" spans="1:2" x14ac:dyDescent="0.25">
      <c r="A589" s="20">
        <v>43591</v>
      </c>
      <c r="B589" s="21">
        <v>19.125</v>
      </c>
    </row>
    <row r="590" spans="1:2" x14ac:dyDescent="0.25">
      <c r="A590" s="20">
        <v>43592</v>
      </c>
      <c r="B590" s="21">
        <v>19.03</v>
      </c>
    </row>
    <row r="591" spans="1:2" x14ac:dyDescent="0.25">
      <c r="A591" s="20">
        <v>43593</v>
      </c>
      <c r="B591" s="21">
        <v>17.805</v>
      </c>
    </row>
    <row r="592" spans="1:2" x14ac:dyDescent="0.25">
      <c r="A592" s="20">
        <v>43594</v>
      </c>
      <c r="B592" s="21">
        <v>16.47</v>
      </c>
    </row>
    <row r="593" spans="1:2" x14ac:dyDescent="0.25">
      <c r="A593" s="20">
        <v>43595</v>
      </c>
      <c r="B593" s="21">
        <v>16.55</v>
      </c>
    </row>
    <row r="594" spans="1:2" x14ac:dyDescent="0.25">
      <c r="A594" s="20">
        <v>43598</v>
      </c>
      <c r="B594" s="21">
        <v>16.914999999999999</v>
      </c>
    </row>
    <row r="595" spans="1:2" x14ac:dyDescent="0.25">
      <c r="A595" s="20">
        <v>43599</v>
      </c>
      <c r="B595" s="21">
        <v>16.774999999999999</v>
      </c>
    </row>
    <row r="596" spans="1:2" x14ac:dyDescent="0.25">
      <c r="A596" s="20">
        <v>43600</v>
      </c>
      <c r="B596" s="21">
        <v>16.899999999999999</v>
      </c>
    </row>
    <row r="597" spans="1:2" x14ac:dyDescent="0.25">
      <c r="A597" s="20">
        <v>43601</v>
      </c>
      <c r="B597" s="21">
        <v>17.204999999999998</v>
      </c>
    </row>
    <row r="598" spans="1:2" x14ac:dyDescent="0.25">
      <c r="A598" s="20">
        <v>43605</v>
      </c>
      <c r="B598" s="21">
        <v>17.309999999999999</v>
      </c>
    </row>
    <row r="599" spans="1:2" x14ac:dyDescent="0.25">
      <c r="A599" s="20">
        <v>43606</v>
      </c>
      <c r="B599" s="21">
        <v>17.135000000000002</v>
      </c>
    </row>
    <row r="600" spans="1:2" x14ac:dyDescent="0.25">
      <c r="A600" s="20">
        <v>43607</v>
      </c>
      <c r="B600" s="21">
        <v>17.03</v>
      </c>
    </row>
    <row r="601" spans="1:2" x14ac:dyDescent="0.25">
      <c r="A601" s="20">
        <v>43608</v>
      </c>
      <c r="B601" s="21">
        <v>15.875</v>
      </c>
    </row>
    <row r="602" spans="1:2" x14ac:dyDescent="0.25">
      <c r="A602" s="20">
        <v>43609</v>
      </c>
      <c r="B602" s="21">
        <v>16.05</v>
      </c>
    </row>
    <row r="603" spans="1:2" x14ac:dyDescent="0.25">
      <c r="A603" s="20">
        <v>43612</v>
      </c>
      <c r="B603" s="21">
        <v>15.895</v>
      </c>
    </row>
    <row r="604" spans="1:2" x14ac:dyDescent="0.25">
      <c r="A604" s="20">
        <v>43613</v>
      </c>
      <c r="B604" s="21">
        <v>16.309999999999999</v>
      </c>
    </row>
    <row r="605" spans="1:2" x14ac:dyDescent="0.25">
      <c r="A605" s="20">
        <v>43614</v>
      </c>
      <c r="B605" s="21">
        <v>15.28</v>
      </c>
    </row>
    <row r="606" spans="1:2" x14ac:dyDescent="0.25">
      <c r="A606" s="20">
        <v>43616</v>
      </c>
      <c r="B606" s="21">
        <v>15.195</v>
      </c>
    </row>
    <row r="607" spans="1:2" x14ac:dyDescent="0.25">
      <c r="A607" s="20">
        <v>43619</v>
      </c>
      <c r="B607" s="21">
        <v>14.9</v>
      </c>
    </row>
    <row r="608" spans="1:2" x14ac:dyDescent="0.25">
      <c r="A608" s="20">
        <v>43620</v>
      </c>
      <c r="B608" s="21">
        <v>14.94</v>
      </c>
    </row>
    <row r="609" spans="1:2" x14ac:dyDescent="0.25">
      <c r="A609" s="20">
        <v>43621</v>
      </c>
      <c r="B609" s="21">
        <v>15.25</v>
      </c>
    </row>
    <row r="610" spans="1:2" x14ac:dyDescent="0.25">
      <c r="A610" s="20">
        <v>43622</v>
      </c>
      <c r="B610" s="21">
        <v>15</v>
      </c>
    </row>
    <row r="611" spans="1:2" x14ac:dyDescent="0.25">
      <c r="A611" s="20">
        <v>43623</v>
      </c>
      <c r="B611" s="21">
        <v>15.41</v>
      </c>
    </row>
    <row r="612" spans="1:2" x14ac:dyDescent="0.25">
      <c r="A612" s="20">
        <v>43627</v>
      </c>
      <c r="B612" s="21">
        <v>15.36</v>
      </c>
    </row>
    <row r="613" spans="1:2" x14ac:dyDescent="0.25">
      <c r="A613" s="20">
        <v>43628</v>
      </c>
      <c r="B613" s="21">
        <v>14.98</v>
      </c>
    </row>
    <row r="614" spans="1:2" x14ac:dyDescent="0.25">
      <c r="A614" s="20">
        <v>43629</v>
      </c>
      <c r="B614" s="21">
        <v>15.29</v>
      </c>
    </row>
    <row r="615" spans="1:2" x14ac:dyDescent="0.25">
      <c r="A615" s="20">
        <v>43630</v>
      </c>
      <c r="B615" s="21">
        <v>15.33</v>
      </c>
    </row>
    <row r="616" spans="1:2" x14ac:dyDescent="0.25">
      <c r="A616" s="20">
        <v>43633</v>
      </c>
      <c r="B616" s="21">
        <v>15.105</v>
      </c>
    </row>
    <row r="617" spans="1:2" x14ac:dyDescent="0.25">
      <c r="A617" s="20">
        <v>43634</v>
      </c>
      <c r="B617" s="21">
        <v>15.54</v>
      </c>
    </row>
    <row r="618" spans="1:2" x14ac:dyDescent="0.25">
      <c r="A618" s="20">
        <v>43635</v>
      </c>
      <c r="B618" s="21">
        <v>15.355</v>
      </c>
    </row>
    <row r="619" spans="1:2" x14ac:dyDescent="0.25">
      <c r="A619" s="20">
        <v>43636</v>
      </c>
      <c r="B619" s="21">
        <v>15.91</v>
      </c>
    </row>
    <row r="620" spans="1:2" x14ac:dyDescent="0.25">
      <c r="A620" s="20">
        <v>43637</v>
      </c>
      <c r="B620" s="21">
        <v>16.05</v>
      </c>
    </row>
    <row r="621" spans="1:2" x14ac:dyDescent="0.25">
      <c r="A621" s="20">
        <v>43640</v>
      </c>
      <c r="B621" s="21">
        <v>15.78</v>
      </c>
    </row>
    <row r="622" spans="1:2" x14ac:dyDescent="0.25">
      <c r="A622" s="20">
        <v>43641</v>
      </c>
      <c r="B622" s="21">
        <v>15.335000000000001</v>
      </c>
    </row>
    <row r="623" spans="1:2" x14ac:dyDescent="0.25">
      <c r="A623" s="20">
        <v>43642</v>
      </c>
      <c r="B623" s="21">
        <v>15.62</v>
      </c>
    </row>
    <row r="624" spans="1:2" x14ac:dyDescent="0.25">
      <c r="A624" s="20">
        <v>43643</v>
      </c>
      <c r="B624" s="21">
        <v>15.67</v>
      </c>
    </row>
    <row r="625" spans="1:2" x14ac:dyDescent="0.25">
      <c r="A625" s="20">
        <v>43644</v>
      </c>
      <c r="B625" s="21">
        <v>15.45</v>
      </c>
    </row>
    <row r="626" spans="1:2" x14ac:dyDescent="0.25">
      <c r="A626" s="20">
        <v>43647</v>
      </c>
      <c r="B626" s="21">
        <v>15.775</v>
      </c>
    </row>
    <row r="627" spans="1:2" x14ac:dyDescent="0.25">
      <c r="A627" s="20">
        <v>43648</v>
      </c>
      <c r="B627" s="21">
        <v>15.335000000000001</v>
      </c>
    </row>
    <row r="628" spans="1:2" x14ac:dyDescent="0.25">
      <c r="A628" s="20">
        <v>43649</v>
      </c>
      <c r="B628" s="21">
        <v>15.065</v>
      </c>
    </row>
    <row r="629" spans="1:2" x14ac:dyDescent="0.25">
      <c r="A629" s="20">
        <v>43650</v>
      </c>
      <c r="B629" s="21">
        <v>14.965</v>
      </c>
    </row>
    <row r="630" spans="1:2" x14ac:dyDescent="0.25">
      <c r="A630" s="20">
        <v>43651</v>
      </c>
      <c r="B630" s="21">
        <v>14.994999999999999</v>
      </c>
    </row>
    <row r="631" spans="1:2" x14ac:dyDescent="0.25">
      <c r="A631" s="20">
        <v>43654</v>
      </c>
      <c r="B631" s="21">
        <v>15.01</v>
      </c>
    </row>
    <row r="632" spans="1:2" x14ac:dyDescent="0.25">
      <c r="A632" s="20">
        <v>43655</v>
      </c>
      <c r="B632" s="21">
        <v>14.59</v>
      </c>
    </row>
    <row r="633" spans="1:2" x14ac:dyDescent="0.25">
      <c r="A633" s="20">
        <v>43656</v>
      </c>
      <c r="B633" s="21">
        <v>15.154999999999999</v>
      </c>
    </row>
    <row r="634" spans="1:2" x14ac:dyDescent="0.25">
      <c r="A634" s="20">
        <v>43657</v>
      </c>
      <c r="B634" s="21">
        <v>15.11</v>
      </c>
    </row>
    <row r="635" spans="1:2" x14ac:dyDescent="0.25">
      <c r="A635" s="20">
        <v>43658</v>
      </c>
      <c r="B635" s="21">
        <v>15.3</v>
      </c>
    </row>
    <row r="636" spans="1:2" x14ac:dyDescent="0.25">
      <c r="A636" s="20">
        <v>43661</v>
      </c>
      <c r="B636" s="21">
        <v>15.154999999999999</v>
      </c>
    </row>
    <row r="637" spans="1:2" x14ac:dyDescent="0.25">
      <c r="A637" s="20">
        <v>43662</v>
      </c>
      <c r="B637" s="21">
        <v>14.79</v>
      </c>
    </row>
    <row r="638" spans="1:2" x14ac:dyDescent="0.25">
      <c r="A638" s="20">
        <v>43663</v>
      </c>
      <c r="B638" s="21">
        <v>14.36</v>
      </c>
    </row>
    <row r="639" spans="1:2" x14ac:dyDescent="0.25">
      <c r="A639" s="20">
        <v>43664</v>
      </c>
      <c r="B639" s="21">
        <v>14.115</v>
      </c>
    </row>
    <row r="640" spans="1:2" x14ac:dyDescent="0.25">
      <c r="A640" s="20">
        <v>43665</v>
      </c>
      <c r="B640" s="21">
        <v>14.11</v>
      </c>
    </row>
    <row r="641" spans="1:2" x14ac:dyDescent="0.25">
      <c r="A641" s="20">
        <v>43668</v>
      </c>
      <c r="B641" s="21">
        <v>14.48</v>
      </c>
    </row>
    <row r="642" spans="1:2" x14ac:dyDescent="0.25">
      <c r="A642" s="20">
        <v>43669</v>
      </c>
      <c r="B642" s="21">
        <v>14.66</v>
      </c>
    </row>
    <row r="643" spans="1:2" x14ac:dyDescent="0.25">
      <c r="A643" s="20">
        <v>43670</v>
      </c>
      <c r="B643" s="21">
        <v>14.535</v>
      </c>
    </row>
    <row r="644" spans="1:2" x14ac:dyDescent="0.25">
      <c r="A644" s="20">
        <v>43671</v>
      </c>
      <c r="B644" s="21">
        <v>14.6</v>
      </c>
    </row>
    <row r="645" spans="1:2" x14ac:dyDescent="0.25">
      <c r="A645" s="20">
        <v>43672</v>
      </c>
      <c r="B645" s="21">
        <v>14.71</v>
      </c>
    </row>
    <row r="646" spans="1:2" x14ac:dyDescent="0.25">
      <c r="A646" s="20">
        <v>43675</v>
      </c>
      <c r="B646" s="21">
        <v>15.105</v>
      </c>
    </row>
    <row r="647" spans="1:2" x14ac:dyDescent="0.25">
      <c r="A647" s="20">
        <v>43676</v>
      </c>
      <c r="B647" s="21">
        <v>14.5</v>
      </c>
    </row>
    <row r="648" spans="1:2" x14ac:dyDescent="0.25">
      <c r="A648" s="20">
        <v>43677</v>
      </c>
      <c r="B648" s="21">
        <v>14.9</v>
      </c>
    </row>
    <row r="649" spans="1:2" x14ac:dyDescent="0.25">
      <c r="A649" s="20">
        <v>43678</v>
      </c>
      <c r="B649" s="21">
        <v>14.185</v>
      </c>
    </row>
    <row r="650" spans="1:2" x14ac:dyDescent="0.25">
      <c r="A650" s="20">
        <v>43679</v>
      </c>
      <c r="B650" s="21">
        <v>13.855</v>
      </c>
    </row>
    <row r="651" spans="1:2" x14ac:dyDescent="0.25">
      <c r="A651" s="20">
        <v>43682</v>
      </c>
      <c r="B651" s="21">
        <v>13.5</v>
      </c>
    </row>
    <row r="652" spans="1:2" x14ac:dyDescent="0.25">
      <c r="A652" s="20">
        <v>43683</v>
      </c>
      <c r="B652" s="21">
        <v>13.43</v>
      </c>
    </row>
    <row r="653" spans="1:2" x14ac:dyDescent="0.25">
      <c r="A653" s="20">
        <v>43684</v>
      </c>
      <c r="B653" s="21">
        <v>12.76</v>
      </c>
    </row>
    <row r="654" spans="1:2" x14ac:dyDescent="0.25">
      <c r="A654" s="20">
        <v>43685</v>
      </c>
      <c r="B654" s="21">
        <v>12.855</v>
      </c>
    </row>
    <row r="655" spans="1:2" x14ac:dyDescent="0.25">
      <c r="A655" s="20">
        <v>43686</v>
      </c>
      <c r="B655" s="21">
        <v>12.76</v>
      </c>
    </row>
    <row r="656" spans="1:2" x14ac:dyDescent="0.25">
      <c r="A656" s="20">
        <v>43689</v>
      </c>
      <c r="B656" s="21">
        <v>12.715</v>
      </c>
    </row>
    <row r="657" spans="1:2" x14ac:dyDescent="0.25">
      <c r="A657" s="20">
        <v>43690</v>
      </c>
      <c r="B657" s="21">
        <v>12.94</v>
      </c>
    </row>
    <row r="658" spans="1:2" x14ac:dyDescent="0.25">
      <c r="A658" s="20">
        <v>43691</v>
      </c>
      <c r="B658" s="21">
        <v>12</v>
      </c>
    </row>
    <row r="659" spans="1:2" x14ac:dyDescent="0.25">
      <c r="A659" s="20">
        <v>43692</v>
      </c>
      <c r="B659" s="21">
        <v>11.475</v>
      </c>
    </row>
    <row r="660" spans="1:2" x14ac:dyDescent="0.25">
      <c r="A660" s="20">
        <v>43693</v>
      </c>
      <c r="B660" s="21">
        <v>11.154999999999999</v>
      </c>
    </row>
    <row r="661" spans="1:2" x14ac:dyDescent="0.25">
      <c r="A661" s="20">
        <v>43696</v>
      </c>
      <c r="B661" s="21">
        <v>11.85</v>
      </c>
    </row>
    <row r="662" spans="1:2" x14ac:dyDescent="0.25">
      <c r="A662" s="20">
        <v>43697</v>
      </c>
      <c r="B662" s="21">
        <v>11.755000000000001</v>
      </c>
    </row>
    <row r="663" spans="1:2" x14ac:dyDescent="0.25">
      <c r="A663" s="20">
        <v>43698</v>
      </c>
      <c r="B663" s="21">
        <v>12.38</v>
      </c>
    </row>
    <row r="664" spans="1:2" x14ac:dyDescent="0.25">
      <c r="A664" s="20">
        <v>43699</v>
      </c>
      <c r="B664" s="21">
        <v>11.955</v>
      </c>
    </row>
    <row r="665" spans="1:2" x14ac:dyDescent="0.25">
      <c r="A665" s="20">
        <v>43700</v>
      </c>
      <c r="B665" s="21">
        <v>11.88</v>
      </c>
    </row>
    <row r="666" spans="1:2" x14ac:dyDescent="0.25">
      <c r="A666" s="20">
        <v>43703</v>
      </c>
      <c r="B666" s="21">
        <v>11.615</v>
      </c>
    </row>
    <row r="667" spans="1:2" x14ac:dyDescent="0.25">
      <c r="A667" s="20">
        <v>43704</v>
      </c>
      <c r="B667" s="21">
        <v>11.72</v>
      </c>
    </row>
    <row r="668" spans="1:2" x14ac:dyDescent="0.25">
      <c r="A668" s="20">
        <v>43705</v>
      </c>
      <c r="B668" s="21">
        <v>11.81</v>
      </c>
    </row>
    <row r="669" spans="1:2" x14ac:dyDescent="0.25">
      <c r="A669" s="20">
        <v>43706</v>
      </c>
      <c r="B669" s="21">
        <v>12.08</v>
      </c>
    </row>
    <row r="670" spans="1:2" x14ac:dyDescent="0.25">
      <c r="A670" s="20">
        <v>43707</v>
      </c>
      <c r="B670" s="21">
        <v>12.065</v>
      </c>
    </row>
    <row r="671" spans="1:2" x14ac:dyDescent="0.25">
      <c r="A671" s="20">
        <v>43710</v>
      </c>
      <c r="B671" s="21">
        <v>12.115</v>
      </c>
    </row>
    <row r="672" spans="1:2" x14ac:dyDescent="0.25">
      <c r="A672" s="20">
        <v>43711</v>
      </c>
      <c r="B672" s="21">
        <v>11.755000000000001</v>
      </c>
    </row>
    <row r="673" spans="1:2" x14ac:dyDescent="0.25">
      <c r="A673" s="20">
        <v>43712</v>
      </c>
      <c r="B673" s="21">
        <v>11.965</v>
      </c>
    </row>
    <row r="674" spans="1:2" x14ac:dyDescent="0.25">
      <c r="A674" s="20">
        <v>43713</v>
      </c>
      <c r="B674" s="21">
        <v>12.85</v>
      </c>
    </row>
    <row r="675" spans="1:2" x14ac:dyDescent="0.25">
      <c r="A675" s="20">
        <v>43714</v>
      </c>
      <c r="B675" s="21">
        <v>12.385</v>
      </c>
    </row>
    <row r="676" spans="1:2" x14ac:dyDescent="0.25">
      <c r="A676" s="20">
        <v>43717</v>
      </c>
      <c r="B676" s="21">
        <v>12.695</v>
      </c>
    </row>
    <row r="677" spans="1:2" x14ac:dyDescent="0.25">
      <c r="A677" s="20">
        <v>43718</v>
      </c>
      <c r="B677" s="21">
        <v>13.32</v>
      </c>
    </row>
    <row r="678" spans="1:2" x14ac:dyDescent="0.25">
      <c r="A678" s="20">
        <v>43719</v>
      </c>
      <c r="B678" s="21">
        <v>13.59</v>
      </c>
    </row>
    <row r="679" spans="1:2" x14ac:dyDescent="0.25">
      <c r="A679" s="20">
        <v>43720</v>
      </c>
      <c r="B679" s="21">
        <v>13.195</v>
      </c>
    </row>
    <row r="680" spans="1:2" x14ac:dyDescent="0.25">
      <c r="A680" s="20">
        <v>43721</v>
      </c>
      <c r="B680" s="21">
        <v>13.515000000000001</v>
      </c>
    </row>
    <row r="681" spans="1:2" x14ac:dyDescent="0.25">
      <c r="A681" s="20">
        <v>43724</v>
      </c>
      <c r="B681" s="21">
        <v>14.42</v>
      </c>
    </row>
    <row r="682" spans="1:2" x14ac:dyDescent="0.25">
      <c r="A682" s="20">
        <v>43725</v>
      </c>
      <c r="B682" s="21">
        <v>13.715</v>
      </c>
    </row>
    <row r="683" spans="1:2" x14ac:dyDescent="0.25">
      <c r="A683" s="20">
        <v>43726</v>
      </c>
      <c r="B683" s="21">
        <v>13.824999999999999</v>
      </c>
    </row>
    <row r="684" spans="1:2" x14ac:dyDescent="0.25">
      <c r="A684" s="20">
        <v>43727</v>
      </c>
      <c r="B684" s="21">
        <v>14.01</v>
      </c>
    </row>
    <row r="685" spans="1:2" x14ac:dyDescent="0.25">
      <c r="A685" s="20">
        <v>43728</v>
      </c>
      <c r="B685" s="21">
        <v>14</v>
      </c>
    </row>
    <row r="686" spans="1:2" x14ac:dyDescent="0.25">
      <c r="A686" s="20">
        <v>43731</v>
      </c>
      <c r="B686" s="21">
        <v>13.78</v>
      </c>
    </row>
    <row r="687" spans="1:2" x14ac:dyDescent="0.25">
      <c r="A687" s="20">
        <v>43732</v>
      </c>
      <c r="B687" s="21">
        <v>13.615</v>
      </c>
    </row>
    <row r="688" spans="1:2" x14ac:dyDescent="0.25">
      <c r="A688" s="20">
        <v>43733</v>
      </c>
      <c r="B688" s="21">
        <v>12.895</v>
      </c>
    </row>
    <row r="689" spans="1:2" x14ac:dyDescent="0.25">
      <c r="A689" s="20">
        <v>43734</v>
      </c>
      <c r="B689" s="21">
        <v>13.085000000000001</v>
      </c>
    </row>
    <row r="690" spans="1:2" x14ac:dyDescent="0.25">
      <c r="A690" s="20">
        <v>43735</v>
      </c>
      <c r="B690" s="21">
        <v>13.07</v>
      </c>
    </row>
    <row r="691" spans="1:2" x14ac:dyDescent="0.25">
      <c r="A691" s="20">
        <v>43738</v>
      </c>
      <c r="B691" s="21">
        <v>13.12</v>
      </c>
    </row>
    <row r="692" spans="1:2" x14ac:dyDescent="0.25">
      <c r="A692" s="20">
        <v>43739</v>
      </c>
      <c r="B692" s="21">
        <v>12.99</v>
      </c>
    </row>
    <row r="693" spans="1:2" x14ac:dyDescent="0.25">
      <c r="A693" s="20">
        <v>43740</v>
      </c>
      <c r="B693" s="21">
        <v>12.535</v>
      </c>
    </row>
    <row r="694" spans="1:2" x14ac:dyDescent="0.25">
      <c r="A694" s="20">
        <v>43741</v>
      </c>
      <c r="B694" s="21">
        <v>12.154999999999999</v>
      </c>
    </row>
    <row r="695" spans="1:2" x14ac:dyDescent="0.25">
      <c r="A695" s="20">
        <v>43742</v>
      </c>
      <c r="B695" s="21">
        <v>12.66</v>
      </c>
    </row>
    <row r="696" spans="1:2" x14ac:dyDescent="0.25">
      <c r="A696" s="20">
        <v>43745</v>
      </c>
      <c r="B696" s="21">
        <v>12.85</v>
      </c>
    </row>
    <row r="697" spans="1:2" x14ac:dyDescent="0.25">
      <c r="A697" s="20">
        <v>43746</v>
      </c>
      <c r="B697" s="21">
        <v>12.585000000000001</v>
      </c>
    </row>
    <row r="698" spans="1:2" x14ac:dyDescent="0.25">
      <c r="A698" s="20">
        <v>43747</v>
      </c>
      <c r="B698" s="21">
        <v>12.55</v>
      </c>
    </row>
    <row r="699" spans="1:2" x14ac:dyDescent="0.25">
      <c r="A699" s="20">
        <v>43748</v>
      </c>
      <c r="B699" s="21">
        <v>12.744999999999999</v>
      </c>
    </row>
    <row r="700" spans="1:2" x14ac:dyDescent="0.25">
      <c r="A700" s="20">
        <v>43749</v>
      </c>
      <c r="B700" s="21">
        <v>13.14</v>
      </c>
    </row>
    <row r="701" spans="1:2" x14ac:dyDescent="0.25">
      <c r="A701" s="20">
        <v>43752</v>
      </c>
      <c r="B701" s="21">
        <v>12.73</v>
      </c>
    </row>
    <row r="702" spans="1:2" x14ac:dyDescent="0.25">
      <c r="A702" s="20">
        <v>43753</v>
      </c>
      <c r="B702" s="21">
        <v>12.65</v>
      </c>
    </row>
    <row r="703" spans="1:2" x14ac:dyDescent="0.25">
      <c r="A703" s="20">
        <v>43754</v>
      </c>
      <c r="B703" s="21">
        <v>12.54</v>
      </c>
    </row>
    <row r="704" spans="1:2" x14ac:dyDescent="0.25">
      <c r="A704" s="20">
        <v>43755</v>
      </c>
      <c r="B704" s="21">
        <v>12.475</v>
      </c>
    </row>
    <row r="705" spans="1:2" x14ac:dyDescent="0.25">
      <c r="A705" s="20">
        <v>43756</v>
      </c>
      <c r="B705" s="21">
        <v>12.33</v>
      </c>
    </row>
    <row r="706" spans="1:2" x14ac:dyDescent="0.25">
      <c r="A706" s="20">
        <v>43759</v>
      </c>
      <c r="B706" s="21">
        <v>12.46</v>
      </c>
    </row>
    <row r="707" spans="1:2" x14ac:dyDescent="0.25">
      <c r="A707" s="20">
        <v>43760</v>
      </c>
      <c r="B707" s="21">
        <v>12.395</v>
      </c>
    </row>
    <row r="708" spans="1:2" x14ac:dyDescent="0.25">
      <c r="A708" s="20">
        <v>43761</v>
      </c>
      <c r="B708" s="21">
        <v>12.435</v>
      </c>
    </row>
    <row r="709" spans="1:2" x14ac:dyDescent="0.25">
      <c r="A709" s="20">
        <v>43762</v>
      </c>
      <c r="B709" s="21">
        <v>12.66</v>
      </c>
    </row>
    <row r="710" spans="1:2" x14ac:dyDescent="0.25">
      <c r="A710" s="20">
        <v>43763</v>
      </c>
      <c r="B710" s="21">
        <v>12.18</v>
      </c>
    </row>
    <row r="711" spans="1:2" x14ac:dyDescent="0.25">
      <c r="A711" s="20">
        <v>43766</v>
      </c>
      <c r="B711" s="21">
        <v>12.08</v>
      </c>
    </row>
    <row r="712" spans="1:2" x14ac:dyDescent="0.25">
      <c r="A712" s="20">
        <v>43767</v>
      </c>
      <c r="B712" s="21">
        <v>12.135</v>
      </c>
    </row>
    <row r="713" spans="1:2" x14ac:dyDescent="0.25">
      <c r="A713" s="20">
        <v>43768</v>
      </c>
      <c r="B713" s="21">
        <v>11.92</v>
      </c>
    </row>
    <row r="714" spans="1:2" x14ac:dyDescent="0.25">
      <c r="A714" s="20">
        <v>43769</v>
      </c>
      <c r="B714" s="21">
        <v>11.105</v>
      </c>
    </row>
    <row r="715" spans="1:2" x14ac:dyDescent="0.25">
      <c r="A715" s="20">
        <v>43770</v>
      </c>
      <c r="B715" s="21">
        <v>11.23</v>
      </c>
    </row>
    <row r="716" spans="1:2" x14ac:dyDescent="0.25">
      <c r="A716" s="20">
        <v>43773</v>
      </c>
      <c r="B716" s="21">
        <v>11.565</v>
      </c>
    </row>
    <row r="717" spans="1:2" x14ac:dyDescent="0.25">
      <c r="A717" s="20">
        <v>43774</v>
      </c>
      <c r="B717" s="21">
        <v>12</v>
      </c>
    </row>
    <row r="718" spans="1:2" x14ac:dyDescent="0.25">
      <c r="A718" s="20">
        <v>43775</v>
      </c>
      <c r="B718" s="21">
        <v>11.85</v>
      </c>
    </row>
    <row r="719" spans="1:2" x14ac:dyDescent="0.25">
      <c r="A719" s="20">
        <v>43776</v>
      </c>
      <c r="B719" s="21">
        <v>11.775</v>
      </c>
    </row>
    <row r="720" spans="1:2" x14ac:dyDescent="0.25">
      <c r="A720" s="20">
        <v>43777</v>
      </c>
      <c r="B720" s="21">
        <v>11.385</v>
      </c>
    </row>
    <row r="721" spans="1:2" x14ac:dyDescent="0.25">
      <c r="A721" s="20">
        <v>43780</v>
      </c>
      <c r="B721" s="21">
        <v>11.285</v>
      </c>
    </row>
    <row r="722" spans="1:2" x14ac:dyDescent="0.25">
      <c r="A722" s="20">
        <v>43781</v>
      </c>
      <c r="B722" s="21">
        <v>11.27</v>
      </c>
    </row>
    <row r="723" spans="1:2" x14ac:dyDescent="0.25">
      <c r="A723" s="20">
        <v>43782</v>
      </c>
      <c r="B723" s="21">
        <v>10.955</v>
      </c>
    </row>
    <row r="724" spans="1:2" x14ac:dyDescent="0.25">
      <c r="A724" s="20">
        <v>43783</v>
      </c>
      <c r="B724" s="21">
        <v>11.04</v>
      </c>
    </row>
    <row r="725" spans="1:2" x14ac:dyDescent="0.25">
      <c r="A725" s="20">
        <v>43784</v>
      </c>
      <c r="B725" s="21">
        <v>11.52</v>
      </c>
    </row>
    <row r="726" spans="1:2" x14ac:dyDescent="0.25">
      <c r="A726" s="20">
        <v>43787</v>
      </c>
      <c r="B726" s="21">
        <v>11.18</v>
      </c>
    </row>
    <row r="727" spans="1:2" x14ac:dyDescent="0.25">
      <c r="A727" s="20">
        <v>43788</v>
      </c>
      <c r="B727" s="21">
        <v>11.1</v>
      </c>
    </row>
    <row r="728" spans="1:2" x14ac:dyDescent="0.25">
      <c r="A728" s="20">
        <v>43789</v>
      </c>
      <c r="B728" s="21">
        <v>10.83</v>
      </c>
    </row>
    <row r="729" spans="1:2" x14ac:dyDescent="0.25">
      <c r="A729" s="20">
        <v>43790</v>
      </c>
      <c r="B729" s="21">
        <v>10.92</v>
      </c>
    </row>
    <row r="730" spans="1:2" x14ac:dyDescent="0.25">
      <c r="A730" s="20">
        <v>43791</v>
      </c>
      <c r="B730" s="21">
        <v>11.015000000000001</v>
      </c>
    </row>
    <row r="731" spans="1:2" x14ac:dyDescent="0.25">
      <c r="A731" s="20">
        <v>43794</v>
      </c>
      <c r="B731" s="21">
        <v>10.91</v>
      </c>
    </row>
    <row r="732" spans="1:2" x14ac:dyDescent="0.25">
      <c r="A732" s="20">
        <v>43795</v>
      </c>
      <c r="B732" s="21">
        <v>10.785</v>
      </c>
    </row>
    <row r="733" spans="1:2" x14ac:dyDescent="0.25">
      <c r="A733" s="20">
        <v>43796</v>
      </c>
      <c r="B733" s="21">
        <v>10.675000000000001</v>
      </c>
    </row>
    <row r="734" spans="1:2" x14ac:dyDescent="0.25">
      <c r="A734" s="20">
        <v>43797</v>
      </c>
      <c r="B734" s="21">
        <v>10.705</v>
      </c>
    </row>
    <row r="735" spans="1:2" x14ac:dyDescent="0.25">
      <c r="A735" s="20">
        <v>43798</v>
      </c>
      <c r="B735" s="21">
        <v>10.48</v>
      </c>
    </row>
    <row r="736" spans="1:2" x14ac:dyDescent="0.25">
      <c r="A736" s="20">
        <v>43801</v>
      </c>
      <c r="B736" s="21">
        <v>10.345000000000001</v>
      </c>
    </row>
    <row r="737" spans="1:2" x14ac:dyDescent="0.25">
      <c r="A737" s="20">
        <v>43802</v>
      </c>
      <c r="B737" s="21">
        <v>9.9019999999999992</v>
      </c>
    </row>
    <row r="738" spans="1:2" x14ac:dyDescent="0.25">
      <c r="A738" s="20">
        <v>43803</v>
      </c>
      <c r="B738" s="21">
        <v>10.225</v>
      </c>
    </row>
    <row r="739" spans="1:2" x14ac:dyDescent="0.25">
      <c r="A739" s="20">
        <v>43804</v>
      </c>
      <c r="B739" s="21">
        <v>10.26</v>
      </c>
    </row>
    <row r="740" spans="1:2" x14ac:dyDescent="0.25">
      <c r="A740" s="20">
        <v>43805</v>
      </c>
      <c r="B740" s="21">
        <v>10.43</v>
      </c>
    </row>
    <row r="741" spans="1:2" x14ac:dyDescent="0.25">
      <c r="A741" s="20">
        <v>43808</v>
      </c>
      <c r="B741" s="21">
        <v>10.225</v>
      </c>
    </row>
    <row r="742" spans="1:2" x14ac:dyDescent="0.25">
      <c r="A742" s="20">
        <v>43809</v>
      </c>
      <c r="B742" s="21">
        <v>10.324999999999999</v>
      </c>
    </row>
    <row r="743" spans="1:2" x14ac:dyDescent="0.25">
      <c r="A743" s="20">
        <v>43810</v>
      </c>
      <c r="B743" s="21">
        <v>10.210000000000001</v>
      </c>
    </row>
    <row r="744" spans="1:2" x14ac:dyDescent="0.25">
      <c r="A744" s="20">
        <v>43811</v>
      </c>
      <c r="B744" s="21">
        <v>10.085000000000001</v>
      </c>
    </row>
    <row r="745" spans="1:2" x14ac:dyDescent="0.25">
      <c r="A745" s="20">
        <v>43812</v>
      </c>
      <c r="B745" s="21">
        <v>10.615</v>
      </c>
    </row>
    <row r="746" spans="1:2" x14ac:dyDescent="0.25">
      <c r="A746" s="20">
        <v>43815</v>
      </c>
      <c r="B746" s="21">
        <v>10.775</v>
      </c>
    </row>
    <row r="747" spans="1:2" x14ac:dyDescent="0.25">
      <c r="A747" s="20">
        <v>43816</v>
      </c>
      <c r="B747" s="21">
        <v>11.08</v>
      </c>
    </row>
    <row r="748" spans="1:2" x14ac:dyDescent="0.25">
      <c r="A748" s="20">
        <v>43817</v>
      </c>
      <c r="B748" s="21">
        <v>11.2</v>
      </c>
    </row>
    <row r="749" spans="1:2" x14ac:dyDescent="0.25">
      <c r="A749" s="20">
        <v>43818</v>
      </c>
      <c r="B749" s="21">
        <v>11.26</v>
      </c>
    </row>
    <row r="750" spans="1:2" x14ac:dyDescent="0.25">
      <c r="A750" s="20">
        <v>43819</v>
      </c>
      <c r="B750" s="21">
        <v>11.39</v>
      </c>
    </row>
    <row r="751" spans="1:2" x14ac:dyDescent="0.25">
      <c r="A751" s="20">
        <v>43822</v>
      </c>
      <c r="B751" s="21">
        <v>11.385</v>
      </c>
    </row>
    <row r="752" spans="1:2" x14ac:dyDescent="0.25">
      <c r="A752" s="20">
        <v>43826</v>
      </c>
      <c r="B752" s="21">
        <v>11.39</v>
      </c>
    </row>
    <row r="753" spans="1:2" x14ac:dyDescent="0.25">
      <c r="A753" s="20">
        <v>43829</v>
      </c>
      <c r="B753" s="21">
        <v>11.57</v>
      </c>
    </row>
    <row r="754" spans="1:2" x14ac:dyDescent="0.25">
      <c r="A754" s="20">
        <v>43832</v>
      </c>
      <c r="B754" s="21">
        <v>11.41</v>
      </c>
    </row>
    <row r="755" spans="1:2" x14ac:dyDescent="0.25">
      <c r="A755" s="20">
        <v>43833</v>
      </c>
      <c r="B755" s="21">
        <v>11.39</v>
      </c>
    </row>
    <row r="756" spans="1:2" x14ac:dyDescent="0.25">
      <c r="A756" s="20">
        <v>43836</v>
      </c>
      <c r="B756" s="21">
        <v>10.015000000000001</v>
      </c>
    </row>
    <row r="757" spans="1:2" x14ac:dyDescent="0.25">
      <c r="A757" s="20">
        <v>43837</v>
      </c>
      <c r="B757" s="21">
        <v>10</v>
      </c>
    </row>
    <row r="758" spans="1:2" x14ac:dyDescent="0.25">
      <c r="A758" s="20">
        <v>43838</v>
      </c>
      <c r="B758" s="21">
        <v>10.06</v>
      </c>
    </row>
    <row r="759" spans="1:2" x14ac:dyDescent="0.25">
      <c r="A759" s="20">
        <v>43839</v>
      </c>
      <c r="B759" s="21">
        <v>10.29</v>
      </c>
    </row>
    <row r="760" spans="1:2" x14ac:dyDescent="0.25">
      <c r="A760" s="20">
        <v>43840</v>
      </c>
      <c r="B760" s="21">
        <v>10.37</v>
      </c>
    </row>
    <row r="761" spans="1:2" x14ac:dyDescent="0.25">
      <c r="A761" s="20">
        <v>43843</v>
      </c>
      <c r="B761" s="21">
        <v>10.35</v>
      </c>
    </row>
    <row r="762" spans="1:2" x14ac:dyDescent="0.25">
      <c r="A762" s="20">
        <v>43844</v>
      </c>
      <c r="B762" s="21">
        <v>10.525</v>
      </c>
    </row>
    <row r="763" spans="1:2" x14ac:dyDescent="0.25">
      <c r="A763" s="20">
        <v>43845</v>
      </c>
      <c r="B763" s="21">
        <v>10.385</v>
      </c>
    </row>
    <row r="764" spans="1:2" x14ac:dyDescent="0.25">
      <c r="A764" s="20">
        <v>43846</v>
      </c>
      <c r="B764" s="21">
        <v>10.465</v>
      </c>
    </row>
    <row r="765" spans="1:2" x14ac:dyDescent="0.25">
      <c r="A765" s="20">
        <v>43847</v>
      </c>
      <c r="B765" s="21">
        <v>10.455</v>
      </c>
    </row>
    <row r="766" spans="1:2" x14ac:dyDescent="0.25">
      <c r="A766" s="20">
        <v>43850</v>
      </c>
      <c r="B766" s="21">
        <v>10.45</v>
      </c>
    </row>
    <row r="767" spans="1:2" x14ac:dyDescent="0.25">
      <c r="A767" s="20">
        <v>43851</v>
      </c>
      <c r="B767" s="21">
        <v>10.26</v>
      </c>
    </row>
    <row r="768" spans="1:2" x14ac:dyDescent="0.25">
      <c r="A768" s="20">
        <v>43852</v>
      </c>
      <c r="B768" s="21">
        <v>10.145</v>
      </c>
    </row>
    <row r="769" spans="1:2" x14ac:dyDescent="0.25">
      <c r="A769" s="20">
        <v>43853</v>
      </c>
      <c r="B769" s="21">
        <v>9.7439999999999998</v>
      </c>
    </row>
    <row r="770" spans="1:2" x14ac:dyDescent="0.25">
      <c r="A770" s="20">
        <v>43854</v>
      </c>
      <c r="B770" s="21">
        <v>9.9179999999999993</v>
      </c>
    </row>
    <row r="771" spans="1:2" x14ac:dyDescent="0.25">
      <c r="A771" s="20">
        <v>43857</v>
      </c>
      <c r="B771" s="21">
        <v>9.5239999999999991</v>
      </c>
    </row>
    <row r="772" spans="1:2" x14ac:dyDescent="0.25">
      <c r="A772" s="20">
        <v>43858</v>
      </c>
      <c r="B772" s="21">
        <v>9.76</v>
      </c>
    </row>
    <row r="773" spans="1:2" x14ac:dyDescent="0.25">
      <c r="A773" s="20">
        <v>43859</v>
      </c>
      <c r="B773" s="21">
        <v>9.6</v>
      </c>
    </row>
    <row r="774" spans="1:2" x14ac:dyDescent="0.25">
      <c r="A774" s="20">
        <v>43860</v>
      </c>
      <c r="B774" s="21">
        <v>9.3160000000000007</v>
      </c>
    </row>
    <row r="775" spans="1:2" x14ac:dyDescent="0.25">
      <c r="A775" s="20">
        <v>43861</v>
      </c>
      <c r="B775" s="21">
        <v>9.2240000000000002</v>
      </c>
    </row>
    <row r="776" spans="1:2" x14ac:dyDescent="0.25">
      <c r="A776" s="20">
        <v>43864</v>
      </c>
      <c r="B776" s="21">
        <v>9.3800000000000008</v>
      </c>
    </row>
    <row r="777" spans="1:2" x14ac:dyDescent="0.25">
      <c r="A777" s="20">
        <v>43865</v>
      </c>
      <c r="B777" s="21">
        <v>9.7720000000000002</v>
      </c>
    </row>
    <row r="778" spans="1:2" x14ac:dyDescent="0.25">
      <c r="A778" s="20">
        <v>43866</v>
      </c>
      <c r="B778" s="21">
        <v>9.8800000000000008</v>
      </c>
    </row>
    <row r="779" spans="1:2" x14ac:dyDescent="0.25">
      <c r="A779" s="20">
        <v>43867</v>
      </c>
      <c r="B779" s="21">
        <v>9.1479999999999997</v>
      </c>
    </row>
    <row r="780" spans="1:2" x14ac:dyDescent="0.25">
      <c r="A780" s="20">
        <v>43868</v>
      </c>
      <c r="B780" s="21">
        <v>8.64</v>
      </c>
    </row>
    <row r="781" spans="1:2" x14ac:dyDescent="0.25">
      <c r="A781" s="20">
        <v>43871</v>
      </c>
      <c r="B781" s="21">
        <v>8.02</v>
      </c>
    </row>
    <row r="782" spans="1:2" x14ac:dyDescent="0.25">
      <c r="A782" s="20">
        <v>43872</v>
      </c>
      <c r="B782" s="21">
        <v>8.1560000000000006</v>
      </c>
    </row>
    <row r="783" spans="1:2" x14ac:dyDescent="0.25">
      <c r="A783" s="20">
        <v>43873</v>
      </c>
      <c r="B783" s="21">
        <v>8.3000000000000007</v>
      </c>
    </row>
    <row r="784" spans="1:2" x14ac:dyDescent="0.25">
      <c r="A784" s="20">
        <v>43874</v>
      </c>
      <c r="B784" s="21">
        <v>8.1560000000000006</v>
      </c>
    </row>
    <row r="785" spans="1:2" x14ac:dyDescent="0.25">
      <c r="A785" s="20">
        <v>43875</v>
      </c>
      <c r="B785" s="21">
        <v>8.1</v>
      </c>
    </row>
    <row r="786" spans="1:2" x14ac:dyDescent="0.25">
      <c r="A786" s="20">
        <v>43878</v>
      </c>
      <c r="B786" s="21">
        <v>7.99</v>
      </c>
    </row>
    <row r="787" spans="1:2" x14ac:dyDescent="0.25">
      <c r="A787" s="20">
        <v>43879</v>
      </c>
      <c r="B787" s="21">
        <v>7.8540000000000001</v>
      </c>
    </row>
    <row r="788" spans="1:2" x14ac:dyDescent="0.25">
      <c r="A788" s="20">
        <v>43880</v>
      </c>
      <c r="B788" s="21">
        <v>7.806</v>
      </c>
    </row>
    <row r="789" spans="1:2" x14ac:dyDescent="0.25">
      <c r="A789" s="20">
        <v>43881</v>
      </c>
      <c r="B789" s="21">
        <v>7.992</v>
      </c>
    </row>
    <row r="790" spans="1:2" x14ac:dyDescent="0.25">
      <c r="A790" s="20">
        <v>43882</v>
      </c>
      <c r="B790" s="21">
        <v>7.7</v>
      </c>
    </row>
    <row r="791" spans="1:2" x14ac:dyDescent="0.25">
      <c r="A791" s="20">
        <v>43885</v>
      </c>
      <c r="B791" s="21">
        <v>6.9080000000000004</v>
      </c>
    </row>
    <row r="792" spans="1:2" x14ac:dyDescent="0.25">
      <c r="A792" s="20">
        <v>43886</v>
      </c>
      <c r="B792" s="21">
        <v>6.806</v>
      </c>
    </row>
    <row r="793" spans="1:2" x14ac:dyDescent="0.25">
      <c r="A793" s="20">
        <v>43887</v>
      </c>
      <c r="B793" s="21">
        <v>6.8559999999999999</v>
      </c>
    </row>
    <row r="794" spans="1:2" x14ac:dyDescent="0.25">
      <c r="A794" s="20">
        <v>43888</v>
      </c>
      <c r="B794" s="21">
        <v>6.1280000000000001</v>
      </c>
    </row>
    <row r="795" spans="1:2" x14ac:dyDescent="0.25">
      <c r="A795" s="20">
        <v>43889</v>
      </c>
      <c r="B795" s="21">
        <v>6.4580000000000002</v>
      </c>
    </row>
    <row r="796" spans="1:2" x14ac:dyDescent="0.25">
      <c r="A796" s="20">
        <v>43892</v>
      </c>
      <c r="B796" s="21">
        <v>6.5</v>
      </c>
    </row>
    <row r="797" spans="1:2" x14ac:dyDescent="0.25">
      <c r="A797" s="20">
        <v>43893</v>
      </c>
      <c r="B797" s="21">
        <v>6.8659999999999997</v>
      </c>
    </row>
    <row r="798" spans="1:2" x14ac:dyDescent="0.25">
      <c r="A798" s="20">
        <v>43894</v>
      </c>
      <c r="B798" s="21">
        <v>6.75</v>
      </c>
    </row>
    <row r="799" spans="1:2" x14ac:dyDescent="0.25">
      <c r="A799" s="20">
        <v>43895</v>
      </c>
      <c r="B799" s="21">
        <v>6.2380000000000004</v>
      </c>
    </row>
    <row r="800" spans="1:2" x14ac:dyDescent="0.25">
      <c r="A800" s="20">
        <v>43896</v>
      </c>
      <c r="B800" s="21">
        <v>5.798</v>
      </c>
    </row>
    <row r="801" spans="1:2" x14ac:dyDescent="0.25">
      <c r="A801" s="20">
        <v>43899</v>
      </c>
      <c r="B801" s="21">
        <v>4.4180000000000001</v>
      </c>
    </row>
    <row r="802" spans="1:2" x14ac:dyDescent="0.25">
      <c r="A802" s="20">
        <v>43900</v>
      </c>
      <c r="B802" s="21">
        <v>4.1619999999999999</v>
      </c>
    </row>
    <row r="803" spans="1:2" x14ac:dyDescent="0.25">
      <c r="A803" s="20">
        <v>43901</v>
      </c>
      <c r="B803" s="21">
        <v>4.1459999999999999</v>
      </c>
    </row>
    <row r="804" spans="1:2" x14ac:dyDescent="0.25">
      <c r="A804" s="20">
        <v>43902</v>
      </c>
      <c r="B804" s="21">
        <v>3.37</v>
      </c>
    </row>
    <row r="805" spans="1:2" x14ac:dyDescent="0.25">
      <c r="A805" s="20">
        <v>43903</v>
      </c>
      <c r="B805" s="21">
        <v>3.6880000000000002</v>
      </c>
    </row>
    <row r="806" spans="1:2" x14ac:dyDescent="0.25">
      <c r="A806" s="20">
        <v>43906</v>
      </c>
      <c r="B806" s="21">
        <v>3.4169999999999998</v>
      </c>
    </row>
    <row r="807" spans="1:2" x14ac:dyDescent="0.25">
      <c r="A807" s="20">
        <v>43907</v>
      </c>
      <c r="B807" s="21">
        <v>3.4649999999999999</v>
      </c>
    </row>
    <row r="808" spans="1:2" x14ac:dyDescent="0.25">
      <c r="A808" s="20">
        <v>43908</v>
      </c>
      <c r="B808" s="21">
        <v>3.1120000000000001</v>
      </c>
    </row>
    <row r="809" spans="1:2" x14ac:dyDescent="0.25">
      <c r="A809" s="20">
        <v>43909</v>
      </c>
      <c r="B809" s="21">
        <v>2.95</v>
      </c>
    </row>
    <row r="810" spans="1:2" x14ac:dyDescent="0.25">
      <c r="A810" s="20">
        <v>43910</v>
      </c>
      <c r="B810" s="21">
        <v>3.1669999999999998</v>
      </c>
    </row>
    <row r="811" spans="1:2" x14ac:dyDescent="0.25">
      <c r="A811" s="20">
        <v>43913</v>
      </c>
      <c r="B811" s="21">
        <v>2.927</v>
      </c>
    </row>
    <row r="812" spans="1:2" x14ac:dyDescent="0.25">
      <c r="A812" s="20">
        <v>43914</v>
      </c>
      <c r="B812" s="21">
        <v>3.0550000000000002</v>
      </c>
    </row>
    <row r="813" spans="1:2" x14ac:dyDescent="0.25">
      <c r="A813" s="20">
        <v>43915</v>
      </c>
      <c r="B813" s="21">
        <v>3.03</v>
      </c>
    </row>
    <row r="814" spans="1:2" x14ac:dyDescent="0.25">
      <c r="A814" s="20">
        <v>43916</v>
      </c>
      <c r="B814" s="21">
        <v>2.88</v>
      </c>
    </row>
    <row r="815" spans="1:2" x14ac:dyDescent="0.25">
      <c r="A815" s="20">
        <v>43917</v>
      </c>
      <c r="B815" s="21">
        <v>2.7269999999999999</v>
      </c>
    </row>
    <row r="816" spans="1:2" x14ac:dyDescent="0.25">
      <c r="A816" s="20">
        <v>43920</v>
      </c>
      <c r="B816" s="21">
        <v>2.7490000000000001</v>
      </c>
    </row>
    <row r="817" spans="1:2" x14ac:dyDescent="0.25">
      <c r="A817" s="20">
        <v>43921</v>
      </c>
      <c r="B817" s="21">
        <v>2.9169999999999998</v>
      </c>
    </row>
    <row r="818" spans="1:2" x14ac:dyDescent="0.25">
      <c r="A818" s="20">
        <v>43922</v>
      </c>
      <c r="B818" s="21">
        <v>3.18</v>
      </c>
    </row>
    <row r="819" spans="1:2" x14ac:dyDescent="0.25">
      <c r="A819" s="20">
        <v>43923</v>
      </c>
      <c r="B819" s="21">
        <v>4.01</v>
      </c>
    </row>
    <row r="820" spans="1:2" x14ac:dyDescent="0.25">
      <c r="A820" s="20">
        <v>43924</v>
      </c>
      <c r="B820" s="21">
        <v>4.83</v>
      </c>
    </row>
    <row r="821" spans="1:2" x14ac:dyDescent="0.25">
      <c r="A821" s="20">
        <v>43927</v>
      </c>
      <c r="B821" s="21">
        <v>4.3</v>
      </c>
    </row>
    <row r="822" spans="1:2" x14ac:dyDescent="0.25">
      <c r="A822" s="20">
        <v>43928</v>
      </c>
      <c r="B822" s="21">
        <v>4.5339999999999998</v>
      </c>
    </row>
    <row r="823" spans="1:2" x14ac:dyDescent="0.25">
      <c r="A823" s="20">
        <v>43929</v>
      </c>
      <c r="B823" s="21">
        <v>4.74</v>
      </c>
    </row>
    <row r="824" spans="1:2" x14ac:dyDescent="0.25">
      <c r="A824" s="20">
        <v>43935</v>
      </c>
      <c r="B824" s="21">
        <v>4.6459999999999999</v>
      </c>
    </row>
    <row r="825" spans="1:2" x14ac:dyDescent="0.25">
      <c r="A825" s="20">
        <v>43936</v>
      </c>
      <c r="B825" s="21">
        <v>4.03</v>
      </c>
    </row>
    <row r="826" spans="1:2" x14ac:dyDescent="0.25">
      <c r="A826" s="20">
        <v>43937</v>
      </c>
      <c r="B826" s="21">
        <v>3.927</v>
      </c>
    </row>
    <row r="827" spans="1:2" x14ac:dyDescent="0.25">
      <c r="A827" s="20">
        <v>43938</v>
      </c>
      <c r="B827" s="21">
        <v>4.0999999999999996</v>
      </c>
    </row>
    <row r="828" spans="1:2" x14ac:dyDescent="0.25">
      <c r="A828" s="20">
        <v>43941</v>
      </c>
      <c r="B828" s="21">
        <v>4.0810000000000004</v>
      </c>
    </row>
    <row r="829" spans="1:2" x14ac:dyDescent="0.25">
      <c r="A829" s="20">
        <v>43942</v>
      </c>
      <c r="B829" s="21">
        <v>3.7919999999999998</v>
      </c>
    </row>
    <row r="830" spans="1:2" x14ac:dyDescent="0.25">
      <c r="A830" s="20">
        <v>43943</v>
      </c>
      <c r="B830" s="21">
        <v>4.032</v>
      </c>
    </row>
    <row r="831" spans="1:2" x14ac:dyDescent="0.25">
      <c r="A831" s="20">
        <v>43944</v>
      </c>
      <c r="B831" s="21">
        <v>4.4710000000000001</v>
      </c>
    </row>
    <row r="832" spans="1:2" x14ac:dyDescent="0.25">
      <c r="A832" s="20">
        <v>43945</v>
      </c>
      <c r="B832" s="21">
        <v>4.4420000000000002</v>
      </c>
    </row>
    <row r="833" spans="1:2" x14ac:dyDescent="0.25">
      <c r="A833" s="20">
        <v>43948</v>
      </c>
      <c r="B833" s="21">
        <v>4.18</v>
      </c>
    </row>
    <row r="834" spans="1:2" x14ac:dyDescent="0.25">
      <c r="A834" s="20">
        <v>43949</v>
      </c>
      <c r="B834" s="21">
        <v>4.3</v>
      </c>
    </row>
    <row r="835" spans="1:2" x14ac:dyDescent="0.25">
      <c r="A835" s="20">
        <v>43950</v>
      </c>
      <c r="B835" s="21">
        <v>4.6500000000000004</v>
      </c>
    </row>
    <row r="836" spans="1:2" x14ac:dyDescent="0.25">
      <c r="A836" s="20">
        <v>43951</v>
      </c>
      <c r="B836" s="21">
        <v>4.657</v>
      </c>
    </row>
    <row r="837" spans="1:2" x14ac:dyDescent="0.25">
      <c r="A837" s="20">
        <v>43955</v>
      </c>
      <c r="B837" s="21">
        <v>4.423</v>
      </c>
    </row>
    <row r="838" spans="1:2" x14ac:dyDescent="0.25">
      <c r="A838" s="20">
        <v>43956</v>
      </c>
      <c r="B838" s="21">
        <v>4.6399999999999997</v>
      </c>
    </row>
    <row r="839" spans="1:2" x14ac:dyDescent="0.25">
      <c r="A839" s="20">
        <v>43957</v>
      </c>
      <c r="B839" s="21">
        <v>4.3579999999999997</v>
      </c>
    </row>
    <row r="840" spans="1:2" x14ac:dyDescent="0.25">
      <c r="A840" s="20">
        <v>43958</v>
      </c>
      <c r="B840" s="21">
        <v>4.5599999999999996</v>
      </c>
    </row>
    <row r="841" spans="1:2" x14ac:dyDescent="0.25">
      <c r="A841" s="20">
        <v>43959</v>
      </c>
      <c r="B841" s="21">
        <v>4.7560000000000002</v>
      </c>
    </row>
    <row r="842" spans="1:2" x14ac:dyDescent="0.25">
      <c r="A842" s="20">
        <v>43962</v>
      </c>
      <c r="B842" s="21">
        <v>4.6980000000000004</v>
      </c>
    </row>
    <row r="843" spans="1:2" x14ac:dyDescent="0.25">
      <c r="A843" s="20">
        <v>43963</v>
      </c>
      <c r="B843" s="21">
        <v>4.55</v>
      </c>
    </row>
    <row r="844" spans="1:2" x14ac:dyDescent="0.25">
      <c r="A844" s="20">
        <v>43964</v>
      </c>
      <c r="B844" s="21">
        <v>4.37</v>
      </c>
    </row>
    <row r="845" spans="1:2" x14ac:dyDescent="0.25">
      <c r="A845" s="20">
        <v>43965</v>
      </c>
      <c r="B845" s="21">
        <v>4.2460000000000004</v>
      </c>
    </row>
    <row r="846" spans="1:2" x14ac:dyDescent="0.25">
      <c r="A846" s="20">
        <v>43966</v>
      </c>
      <c r="B846" s="21">
        <v>4.46</v>
      </c>
    </row>
    <row r="847" spans="1:2" x14ac:dyDescent="0.25">
      <c r="A847" s="20">
        <v>43969</v>
      </c>
      <c r="B847" s="21">
        <v>4.7279999999999998</v>
      </c>
    </row>
    <row r="848" spans="1:2" x14ac:dyDescent="0.25">
      <c r="A848" s="20">
        <v>43970</v>
      </c>
      <c r="B848" s="21">
        <v>4.7370000000000001</v>
      </c>
    </row>
    <row r="849" spans="1:2" x14ac:dyDescent="0.25">
      <c r="A849" s="20">
        <v>43971</v>
      </c>
      <c r="B849" s="21">
        <v>4.95</v>
      </c>
    </row>
    <row r="850" spans="1:2" x14ac:dyDescent="0.25">
      <c r="A850" s="20">
        <v>43973</v>
      </c>
      <c r="B850" s="21">
        <v>4.7549999999999999</v>
      </c>
    </row>
    <row r="851" spans="1:2" x14ac:dyDescent="0.25">
      <c r="A851" s="20">
        <v>43976</v>
      </c>
      <c r="B851" s="21">
        <v>5.0199999999999996</v>
      </c>
    </row>
    <row r="852" spans="1:2" x14ac:dyDescent="0.25">
      <c r="A852" s="20">
        <v>43977</v>
      </c>
      <c r="B852" s="21">
        <v>5.22</v>
      </c>
    </row>
    <row r="853" spans="1:2" x14ac:dyDescent="0.25">
      <c r="A853" s="20">
        <v>43978</v>
      </c>
      <c r="B853" s="21">
        <v>5.2060000000000004</v>
      </c>
    </row>
    <row r="854" spans="1:2" x14ac:dyDescent="0.25">
      <c r="A854" s="20">
        <v>43979</v>
      </c>
      <c r="B854" s="21">
        <v>5.194</v>
      </c>
    </row>
    <row r="855" spans="1:2" x14ac:dyDescent="0.25">
      <c r="A855" s="20">
        <v>43980</v>
      </c>
      <c r="B855" s="21">
        <v>5.032</v>
      </c>
    </row>
    <row r="856" spans="1:2" x14ac:dyDescent="0.25">
      <c r="A856" s="20">
        <v>43984</v>
      </c>
      <c r="B856" s="21">
        <v>5.46</v>
      </c>
    </row>
    <row r="857" spans="1:2" x14ac:dyDescent="0.25">
      <c r="A857" s="20">
        <v>43985</v>
      </c>
      <c r="B857" s="21">
        <v>5.87</v>
      </c>
    </row>
    <row r="858" spans="1:2" x14ac:dyDescent="0.25">
      <c r="A858" s="20">
        <v>43986</v>
      </c>
      <c r="B858" s="21">
        <v>5.944</v>
      </c>
    </row>
    <row r="859" spans="1:2" x14ac:dyDescent="0.25">
      <c r="A859" s="20">
        <v>43987</v>
      </c>
      <c r="B859" s="21">
        <v>6.6020000000000003</v>
      </c>
    </row>
    <row r="860" spans="1:2" x14ac:dyDescent="0.25">
      <c r="A860" s="20">
        <v>43990</v>
      </c>
      <c r="B860" s="21">
        <v>6.9779999999999998</v>
      </c>
    </row>
    <row r="861" spans="1:2" x14ac:dyDescent="0.25">
      <c r="A861" s="20">
        <v>43991</v>
      </c>
      <c r="B861" s="21">
        <v>6.7619999999999996</v>
      </c>
    </row>
    <row r="862" spans="1:2" x14ac:dyDescent="0.25">
      <c r="A862" s="20">
        <v>43992</v>
      </c>
      <c r="B862" s="21">
        <v>6.62</v>
      </c>
    </row>
    <row r="863" spans="1:2" x14ac:dyDescent="0.25">
      <c r="A863" s="20">
        <v>43993</v>
      </c>
      <c r="B863" s="21">
        <v>6.4119999999999999</v>
      </c>
    </row>
    <row r="864" spans="1:2" x14ac:dyDescent="0.25">
      <c r="A864" s="20">
        <v>43994</v>
      </c>
      <c r="B864" s="21">
        <v>6.48</v>
      </c>
    </row>
    <row r="865" spans="1:2" x14ac:dyDescent="0.25">
      <c r="A865" s="20">
        <v>43997</v>
      </c>
      <c r="B865" s="21">
        <v>6.1159999999999997</v>
      </c>
    </row>
    <row r="866" spans="1:2" x14ac:dyDescent="0.25">
      <c r="A866" s="20">
        <v>43998</v>
      </c>
      <c r="B866" s="21">
        <v>6.5940000000000003</v>
      </c>
    </row>
    <row r="867" spans="1:2" x14ac:dyDescent="0.25">
      <c r="A867" s="20">
        <v>43999</v>
      </c>
      <c r="B867" s="21">
        <v>6.3540000000000001</v>
      </c>
    </row>
    <row r="868" spans="1:2" x14ac:dyDescent="0.25">
      <c r="A868" s="20">
        <v>44000</v>
      </c>
      <c r="B868" s="21">
        <v>6.2880000000000003</v>
      </c>
    </row>
    <row r="869" spans="1:2" x14ac:dyDescent="0.25">
      <c r="A869" s="20">
        <v>44001</v>
      </c>
      <c r="B869" s="21">
        <v>6.25</v>
      </c>
    </row>
    <row r="870" spans="1:2" x14ac:dyDescent="0.25">
      <c r="A870" s="20">
        <v>44004</v>
      </c>
      <c r="B870" s="21">
        <v>6.12</v>
      </c>
    </row>
    <row r="871" spans="1:2" x14ac:dyDescent="0.25">
      <c r="A871" s="20">
        <v>44005</v>
      </c>
      <c r="B871" s="21">
        <v>6.23</v>
      </c>
    </row>
    <row r="872" spans="1:2" x14ac:dyDescent="0.25">
      <c r="A872" s="20">
        <v>44006</v>
      </c>
      <c r="B872" s="21">
        <v>6.1260000000000003</v>
      </c>
    </row>
    <row r="873" spans="1:2" x14ac:dyDescent="0.25">
      <c r="A873" s="20">
        <v>44007</v>
      </c>
      <c r="B873" s="21">
        <v>6.2480000000000002</v>
      </c>
    </row>
    <row r="874" spans="1:2" x14ac:dyDescent="0.25">
      <c r="A874" s="20">
        <v>44008</v>
      </c>
      <c r="B874" s="21">
        <v>6.1639999999999997</v>
      </c>
    </row>
    <row r="875" spans="1:2" x14ac:dyDescent="0.25">
      <c r="A875" s="20">
        <v>44011</v>
      </c>
      <c r="B875" s="21">
        <v>6</v>
      </c>
    </row>
    <row r="876" spans="1:2" x14ac:dyDescent="0.25">
      <c r="A876" s="20">
        <v>44012</v>
      </c>
      <c r="B876" s="21">
        <v>5.7859999999999996</v>
      </c>
    </row>
    <row r="877" spans="1:2" x14ac:dyDescent="0.25">
      <c r="A877" s="20">
        <v>44013</v>
      </c>
      <c r="B877" s="21">
        <v>6.02</v>
      </c>
    </row>
    <row r="878" spans="1:2" x14ac:dyDescent="0.25">
      <c r="A878" s="20">
        <v>44014</v>
      </c>
      <c r="B878" s="21">
        <v>5.92</v>
      </c>
    </row>
    <row r="879" spans="1:2" x14ac:dyDescent="0.25">
      <c r="A879" s="20">
        <v>44015</v>
      </c>
      <c r="B879" s="21">
        <v>5.7919999999999998</v>
      </c>
    </row>
    <row r="880" spans="1:2" x14ac:dyDescent="0.25">
      <c r="A880" s="20">
        <v>44018</v>
      </c>
      <c r="B880" s="21">
        <v>5.9539999999999997</v>
      </c>
    </row>
    <row r="881" spans="1:2" x14ac:dyDescent="0.25">
      <c r="A881" s="20">
        <v>44019</v>
      </c>
      <c r="B881" s="21">
        <v>6.0279999999999996</v>
      </c>
    </row>
    <row r="882" spans="1:2" x14ac:dyDescent="0.25">
      <c r="A882" s="20">
        <v>44020</v>
      </c>
      <c r="B882" s="21">
        <v>5.94</v>
      </c>
    </row>
    <row r="883" spans="1:2" x14ac:dyDescent="0.25">
      <c r="A883" s="20">
        <v>44021</v>
      </c>
      <c r="B883" s="21">
        <v>5.84</v>
      </c>
    </row>
    <row r="884" spans="1:2" x14ac:dyDescent="0.25">
      <c r="A884" s="20">
        <v>44022</v>
      </c>
      <c r="B884" s="21">
        <v>5.6040000000000001</v>
      </c>
    </row>
    <row r="885" spans="1:2" x14ac:dyDescent="0.25">
      <c r="A885" s="20">
        <v>44025</v>
      </c>
      <c r="B885" s="21">
        <v>5.81</v>
      </c>
    </row>
    <row r="886" spans="1:2" x14ac:dyDescent="0.25">
      <c r="A886" s="20">
        <v>44026</v>
      </c>
      <c r="B886" s="21">
        <v>5.7119999999999997</v>
      </c>
    </row>
    <row r="887" spans="1:2" x14ac:dyDescent="0.25">
      <c r="A887" s="20">
        <v>44027</v>
      </c>
      <c r="B887" s="21">
        <v>5.9359999999999999</v>
      </c>
    </row>
    <row r="888" spans="1:2" x14ac:dyDescent="0.25">
      <c r="A888" s="20">
        <v>44028</v>
      </c>
      <c r="B888" s="21">
        <v>6.0179999999999998</v>
      </c>
    </row>
    <row r="889" spans="1:2" x14ac:dyDescent="0.25">
      <c r="A889" s="20">
        <v>44029</v>
      </c>
      <c r="B889" s="21">
        <v>6.258</v>
      </c>
    </row>
    <row r="890" spans="1:2" x14ac:dyDescent="0.25">
      <c r="A890" s="20">
        <v>44032</v>
      </c>
      <c r="B890" s="21">
        <v>6.11</v>
      </c>
    </row>
    <row r="891" spans="1:2" x14ac:dyDescent="0.25">
      <c r="A891" s="20">
        <v>44033</v>
      </c>
      <c r="B891" s="21">
        <v>6.2640000000000002</v>
      </c>
    </row>
    <row r="892" spans="1:2" x14ac:dyDescent="0.25">
      <c r="A892" s="20">
        <v>44034</v>
      </c>
      <c r="B892" s="21">
        <v>6.21</v>
      </c>
    </row>
    <row r="893" spans="1:2" x14ac:dyDescent="0.25">
      <c r="A893" s="20">
        <v>44035</v>
      </c>
      <c r="B893" s="21">
        <v>6.1859999999999999</v>
      </c>
    </row>
    <row r="894" spans="1:2" x14ac:dyDescent="0.25">
      <c r="A894" s="20">
        <v>44036</v>
      </c>
      <c r="B894" s="21">
        <v>6.0419999999999998</v>
      </c>
    </row>
    <row r="895" spans="1:2" x14ac:dyDescent="0.25">
      <c r="A895" s="20">
        <v>44039</v>
      </c>
      <c r="B895" s="21">
        <v>5.8719999999999999</v>
      </c>
    </row>
    <row r="896" spans="1:2" x14ac:dyDescent="0.25">
      <c r="A896" s="20">
        <v>44040</v>
      </c>
      <c r="B896" s="21">
        <v>5.8259999999999996</v>
      </c>
    </row>
    <row r="897" spans="1:2" x14ac:dyDescent="0.25">
      <c r="A897" s="20">
        <v>44041</v>
      </c>
      <c r="B897" s="21">
        <v>5.81</v>
      </c>
    </row>
    <row r="898" spans="1:2" x14ac:dyDescent="0.25">
      <c r="A898" s="20">
        <v>44042</v>
      </c>
      <c r="B898" s="21">
        <v>5.524</v>
      </c>
    </row>
    <row r="899" spans="1:2" x14ac:dyDescent="0.25">
      <c r="A899" s="20">
        <v>44043</v>
      </c>
      <c r="B899" s="21">
        <v>5.72</v>
      </c>
    </row>
    <row r="900" spans="1:2" x14ac:dyDescent="0.25">
      <c r="A900" s="20">
        <v>44046</v>
      </c>
      <c r="B900" s="21">
        <v>5.83</v>
      </c>
    </row>
    <row r="901" spans="1:2" x14ac:dyDescent="0.25">
      <c r="A901" s="20">
        <v>44047</v>
      </c>
      <c r="B901" s="21">
        <v>5.8120000000000003</v>
      </c>
    </row>
    <row r="902" spans="1:2" x14ac:dyDescent="0.25">
      <c r="A902" s="20">
        <v>44048</v>
      </c>
      <c r="B902" s="21">
        <v>6.29</v>
      </c>
    </row>
    <row r="903" spans="1:2" x14ac:dyDescent="0.25">
      <c r="A903" s="20">
        <v>44049</v>
      </c>
      <c r="B903" s="21">
        <v>6.2</v>
      </c>
    </row>
    <row r="904" spans="1:2" x14ac:dyDescent="0.25">
      <c r="A904" s="20">
        <v>44050</v>
      </c>
      <c r="B904" s="21">
        <v>5.8540000000000001</v>
      </c>
    </row>
    <row r="905" spans="1:2" x14ac:dyDescent="0.25">
      <c r="A905" s="20">
        <v>44053</v>
      </c>
      <c r="B905" s="21">
        <v>5.8479999999999999</v>
      </c>
    </row>
    <row r="906" spans="1:2" x14ac:dyDescent="0.25">
      <c r="A906" s="20">
        <v>44054</v>
      </c>
      <c r="B906" s="21">
        <v>5.89</v>
      </c>
    </row>
    <row r="907" spans="1:2" x14ac:dyDescent="0.25">
      <c r="A907" s="20">
        <v>44055</v>
      </c>
      <c r="B907" s="21">
        <v>5.8360000000000003</v>
      </c>
    </row>
    <row r="908" spans="1:2" x14ac:dyDescent="0.25">
      <c r="A908" s="20">
        <v>44056</v>
      </c>
      <c r="B908" s="21">
        <v>5.83</v>
      </c>
    </row>
    <row r="909" spans="1:2" x14ac:dyDescent="0.25">
      <c r="A909" s="20">
        <v>44057</v>
      </c>
      <c r="B909" s="21">
        <v>5.79</v>
      </c>
    </row>
    <row r="910" spans="1:2" x14ac:dyDescent="0.25">
      <c r="A910" s="20">
        <v>44060</v>
      </c>
      <c r="B910" s="21">
        <v>5.7779999999999996</v>
      </c>
    </row>
    <row r="911" spans="1:2" x14ac:dyDescent="0.25">
      <c r="A911" s="20">
        <v>44061</v>
      </c>
      <c r="B911" s="21">
        <v>5.8339999999999996</v>
      </c>
    </row>
    <row r="912" spans="1:2" x14ac:dyDescent="0.25">
      <c r="A912" s="20">
        <v>44062</v>
      </c>
      <c r="B912" s="21">
        <v>5.6719999999999997</v>
      </c>
    </row>
    <row r="913" spans="1:2" x14ac:dyDescent="0.25">
      <c r="A913" s="20">
        <v>44063</v>
      </c>
      <c r="B913" s="21">
        <v>5.6040000000000001</v>
      </c>
    </row>
    <row r="914" spans="1:2" x14ac:dyDescent="0.25">
      <c r="A914" s="20">
        <v>44064</v>
      </c>
      <c r="B914" s="21">
        <v>5.4219999999999997</v>
      </c>
    </row>
    <row r="915" spans="1:2" x14ac:dyDescent="0.25">
      <c r="A915" s="20">
        <v>44067</v>
      </c>
      <c r="B915" s="21">
        <v>5.5579999999999998</v>
      </c>
    </row>
    <row r="916" spans="1:2" x14ac:dyDescent="0.25">
      <c r="A916" s="20">
        <v>44068</v>
      </c>
      <c r="B916" s="21">
        <v>5.5780000000000003</v>
      </c>
    </row>
    <row r="917" spans="1:2" x14ac:dyDescent="0.25">
      <c r="A917" s="20">
        <v>44069</v>
      </c>
      <c r="B917" s="21">
        <v>5.5019999999999998</v>
      </c>
    </row>
    <row r="918" spans="1:2" x14ac:dyDescent="0.25">
      <c r="A918" s="20">
        <v>44070</v>
      </c>
      <c r="B918" s="21">
        <v>5.43</v>
      </c>
    </row>
    <row r="919" spans="1:2" x14ac:dyDescent="0.25">
      <c r="A919" s="20">
        <v>44071</v>
      </c>
      <c r="B919" s="21">
        <v>5.48</v>
      </c>
    </row>
    <row r="920" spans="1:2" x14ac:dyDescent="0.25">
      <c r="A920" s="20">
        <v>44074</v>
      </c>
      <c r="B920" s="21">
        <v>5.5339999999999998</v>
      </c>
    </row>
    <row r="921" spans="1:2" x14ac:dyDescent="0.25">
      <c r="A921" s="20">
        <v>44075</v>
      </c>
      <c r="B921" s="21">
        <v>5.5860000000000003</v>
      </c>
    </row>
    <row r="922" spans="1:2" x14ac:dyDescent="0.25">
      <c r="A922" s="20">
        <v>44076</v>
      </c>
      <c r="B922" s="21">
        <v>5.32</v>
      </c>
    </row>
    <row r="923" spans="1:2" x14ac:dyDescent="0.25">
      <c r="A923" s="20">
        <v>44077</v>
      </c>
      <c r="B923" s="21">
        <v>5.0599999999999996</v>
      </c>
    </row>
    <row r="924" spans="1:2" x14ac:dyDescent="0.25">
      <c r="A924" s="20">
        <v>44078</v>
      </c>
      <c r="B924" s="21">
        <v>4.95</v>
      </c>
    </row>
    <row r="925" spans="1:2" x14ac:dyDescent="0.25">
      <c r="A925" s="20">
        <v>44081</v>
      </c>
      <c r="B925" s="21">
        <v>4.8689999999999998</v>
      </c>
    </row>
    <row r="926" spans="1:2" x14ac:dyDescent="0.25">
      <c r="A926" s="20">
        <v>44082</v>
      </c>
      <c r="B926" s="21">
        <v>4.6130000000000004</v>
      </c>
    </row>
    <row r="927" spans="1:2" x14ac:dyDescent="0.25">
      <c r="A927" s="20">
        <v>44083</v>
      </c>
      <c r="B927" s="21">
        <v>4.71</v>
      </c>
    </row>
    <row r="928" spans="1:2" x14ac:dyDescent="0.25">
      <c r="A928" s="20">
        <v>44084</v>
      </c>
      <c r="B928" s="21">
        <v>4.7309999999999999</v>
      </c>
    </row>
    <row r="929" spans="1:2" x14ac:dyDescent="0.25">
      <c r="A929" s="20">
        <v>44085</v>
      </c>
      <c r="B929" s="21">
        <v>4.782</v>
      </c>
    </row>
    <row r="930" spans="1:2" x14ac:dyDescent="0.25">
      <c r="A930" s="20">
        <v>44088</v>
      </c>
      <c r="B930" s="21">
        <v>4.8109999999999999</v>
      </c>
    </row>
    <row r="931" spans="1:2" x14ac:dyDescent="0.25">
      <c r="A931" s="20">
        <v>44089</v>
      </c>
      <c r="B931" s="21">
        <v>4.8499999999999996</v>
      </c>
    </row>
    <row r="932" spans="1:2" x14ac:dyDescent="0.25">
      <c r="A932" s="20">
        <v>44090</v>
      </c>
      <c r="B932" s="21">
        <v>4.9980000000000002</v>
      </c>
    </row>
    <row r="933" spans="1:2" x14ac:dyDescent="0.25">
      <c r="A933" s="20">
        <v>44091</v>
      </c>
      <c r="B933" s="21">
        <v>5.1120000000000001</v>
      </c>
    </row>
    <row r="934" spans="1:2" x14ac:dyDescent="0.25">
      <c r="A934" s="20">
        <v>44092</v>
      </c>
      <c r="B934" s="21">
        <v>4.9850000000000003</v>
      </c>
    </row>
    <row r="935" spans="1:2" x14ac:dyDescent="0.25">
      <c r="A935" s="20">
        <v>44095</v>
      </c>
      <c r="B935" s="21">
        <v>4.7519999999999998</v>
      </c>
    </row>
    <row r="936" spans="1:2" x14ac:dyDescent="0.25">
      <c r="A936" s="20">
        <v>44096</v>
      </c>
      <c r="B936" s="21">
        <v>4.8419999999999996</v>
      </c>
    </row>
    <row r="937" spans="1:2" x14ac:dyDescent="0.25">
      <c r="A937" s="20">
        <v>44097</v>
      </c>
      <c r="B937" s="21">
        <v>4.7080000000000002</v>
      </c>
    </row>
    <row r="938" spans="1:2" x14ac:dyDescent="0.25">
      <c r="A938" s="20">
        <v>44098</v>
      </c>
      <c r="B938" s="21">
        <v>4.6100000000000003</v>
      </c>
    </row>
    <row r="939" spans="1:2" x14ac:dyDescent="0.25">
      <c r="A939" s="20">
        <v>44099</v>
      </c>
      <c r="B939" s="21">
        <v>4.6820000000000004</v>
      </c>
    </row>
    <row r="940" spans="1:2" x14ac:dyDescent="0.25">
      <c r="A940" s="20">
        <v>44102</v>
      </c>
      <c r="B940" s="21">
        <v>4.7759999999999998</v>
      </c>
    </row>
    <row r="941" spans="1:2" x14ac:dyDescent="0.25">
      <c r="A941" s="33">
        <v>44104</v>
      </c>
      <c r="B941">
        <v>4.62</v>
      </c>
    </row>
    <row r="942" spans="1:2" x14ac:dyDescent="0.25">
      <c r="A942" s="33">
        <v>44105</v>
      </c>
      <c r="B942">
        <v>4.6520000000000001</v>
      </c>
    </row>
    <row r="943" spans="1:2" x14ac:dyDescent="0.25">
      <c r="A943" s="33">
        <v>44106</v>
      </c>
      <c r="B943">
        <v>4.4470000000000001</v>
      </c>
    </row>
    <row r="944" spans="1:2" x14ac:dyDescent="0.25">
      <c r="A944" s="33">
        <v>44109</v>
      </c>
      <c r="B944">
        <v>4.66</v>
      </c>
    </row>
    <row r="945" spans="1:2" x14ac:dyDescent="0.25">
      <c r="A945" s="33">
        <v>44110</v>
      </c>
      <c r="B945">
        <v>4.7469999999999999</v>
      </c>
    </row>
    <row r="946" spans="1:2" x14ac:dyDescent="0.25">
      <c r="A946" s="33">
        <v>44111</v>
      </c>
      <c r="B946">
        <v>4.9160000000000004</v>
      </c>
    </row>
    <row r="947" spans="1:2" x14ac:dyDescent="0.25">
      <c r="A947" s="33">
        <v>44112</v>
      </c>
      <c r="B947">
        <v>4.6900000000000004</v>
      </c>
    </row>
    <row r="948" spans="1:2" x14ac:dyDescent="0.25">
      <c r="A948" s="33">
        <v>44113</v>
      </c>
      <c r="B948">
        <v>4.7850000000000001</v>
      </c>
    </row>
    <row r="949" spans="1:2" x14ac:dyDescent="0.25">
      <c r="A949" s="33">
        <v>44116</v>
      </c>
      <c r="B949">
        <v>4.7050000000000001</v>
      </c>
    </row>
    <row r="950" spans="1:2" x14ac:dyDescent="0.25">
      <c r="A950" s="33">
        <v>44117</v>
      </c>
      <c r="B950">
        <v>4.5599999999999996</v>
      </c>
    </row>
    <row r="951" spans="1:2" x14ac:dyDescent="0.25">
      <c r="A951" s="33">
        <v>44118</v>
      </c>
      <c r="B951">
        <v>4.6349999999999998</v>
      </c>
    </row>
    <row r="952" spans="1:2" x14ac:dyDescent="0.25">
      <c r="A952" s="33">
        <v>44119</v>
      </c>
      <c r="B952">
        <v>4.5999999999999996</v>
      </c>
    </row>
    <row r="953" spans="1:2" x14ac:dyDescent="0.25">
      <c r="A953" s="33">
        <v>44120</v>
      </c>
      <c r="B953">
        <v>4.4989999999999997</v>
      </c>
    </row>
    <row r="954" spans="1:2" x14ac:dyDescent="0.25">
      <c r="A954" s="33">
        <v>44123</v>
      </c>
      <c r="B954">
        <v>4.399</v>
      </c>
    </row>
    <row r="955" spans="1:2" x14ac:dyDescent="0.25">
      <c r="A955" s="33">
        <v>44124</v>
      </c>
      <c r="B955">
        <v>4.4800000000000004</v>
      </c>
    </row>
    <row r="956" spans="1:2" x14ac:dyDescent="0.25">
      <c r="A956" s="33">
        <v>44125</v>
      </c>
      <c r="B956">
        <v>4.33</v>
      </c>
    </row>
    <row r="957" spans="1:2" x14ac:dyDescent="0.25">
      <c r="A957" s="33">
        <v>44126</v>
      </c>
      <c r="B957">
        <v>4.24</v>
      </c>
    </row>
    <row r="958" spans="1:2" x14ac:dyDescent="0.25">
      <c r="A958" s="33">
        <v>44127</v>
      </c>
      <c r="B958">
        <v>4.2</v>
      </c>
    </row>
    <row r="959" spans="1:2" x14ac:dyDescent="0.25">
      <c r="A959" s="33">
        <v>44130</v>
      </c>
      <c r="B959">
        <v>4.3659999999999997</v>
      </c>
    </row>
    <row r="960" spans="1:2" x14ac:dyDescent="0.25">
      <c r="A960" s="33">
        <v>44131</v>
      </c>
      <c r="B960">
        <v>4.3760000000000003</v>
      </c>
    </row>
    <row r="961" spans="1:2" x14ac:dyDescent="0.25">
      <c r="A961" s="33">
        <v>44132</v>
      </c>
      <c r="B961">
        <v>4.3499999999999996</v>
      </c>
    </row>
    <row r="962" spans="1:2" x14ac:dyDescent="0.25">
      <c r="A962" s="33">
        <v>44133</v>
      </c>
      <c r="B962">
        <v>4.08</v>
      </c>
    </row>
    <row r="963" spans="1:2" x14ac:dyDescent="0.25">
      <c r="A963" s="33">
        <v>44134</v>
      </c>
      <c r="B963">
        <v>3.871</v>
      </c>
    </row>
    <row r="964" spans="1:2" x14ac:dyDescent="0.25">
      <c r="A964" s="33">
        <v>44137</v>
      </c>
      <c r="B964">
        <v>3.91</v>
      </c>
    </row>
    <row r="965" spans="1:2" x14ac:dyDescent="0.25">
      <c r="A965" s="33">
        <v>44138</v>
      </c>
      <c r="B965">
        <v>4.09</v>
      </c>
    </row>
    <row r="966" spans="1:2" x14ac:dyDescent="0.25">
      <c r="A966" s="33">
        <v>44139</v>
      </c>
      <c r="B966">
        <v>4.1500000000000004</v>
      </c>
    </row>
    <row r="967" spans="1:2" x14ac:dyDescent="0.25">
      <c r="A967" s="33">
        <v>44140</v>
      </c>
      <c r="B967">
        <v>4.2480000000000002</v>
      </c>
    </row>
    <row r="968" spans="1:2" x14ac:dyDescent="0.25">
      <c r="A968" s="33">
        <v>44141</v>
      </c>
      <c r="B968">
        <v>4.28</v>
      </c>
    </row>
    <row r="969" spans="1:2" x14ac:dyDescent="0.25">
      <c r="A969" s="33">
        <v>44144</v>
      </c>
      <c r="B969">
        <v>4.3</v>
      </c>
    </row>
    <row r="970" spans="1:2" x14ac:dyDescent="0.25">
      <c r="A970" s="33">
        <v>44145</v>
      </c>
      <c r="B970">
        <v>4.67</v>
      </c>
    </row>
    <row r="971" spans="1:2" x14ac:dyDescent="0.25">
      <c r="A971" s="33">
        <v>44146</v>
      </c>
      <c r="B971">
        <v>5</v>
      </c>
    </row>
    <row r="972" spans="1:2" x14ac:dyDescent="0.25">
      <c r="A972" s="33">
        <v>44147</v>
      </c>
      <c r="B972">
        <v>5.08</v>
      </c>
    </row>
    <row r="973" spans="1:2" x14ac:dyDescent="0.25">
      <c r="A973" s="33">
        <v>44148</v>
      </c>
      <c r="B973">
        <v>4.9000000000000004</v>
      </c>
    </row>
    <row r="974" spans="1:2" x14ac:dyDescent="0.25">
      <c r="A974" s="33">
        <v>44151</v>
      </c>
      <c r="B974">
        <v>5.1020000000000003</v>
      </c>
    </row>
    <row r="975" spans="1:2" x14ac:dyDescent="0.25">
      <c r="A975" s="33">
        <v>44152</v>
      </c>
      <c r="B975">
        <v>5.3440000000000003</v>
      </c>
    </row>
    <row r="976" spans="1:2" x14ac:dyDescent="0.25">
      <c r="A976" s="33">
        <v>44153</v>
      </c>
      <c r="B976">
        <v>5.298</v>
      </c>
    </row>
    <row r="977" spans="1:2" x14ac:dyDescent="0.25">
      <c r="A977" s="33">
        <v>44154</v>
      </c>
      <c r="B977">
        <v>5.6520000000000001</v>
      </c>
    </row>
    <row r="978" spans="1:2" x14ac:dyDescent="0.25">
      <c r="A978" s="33">
        <v>44155</v>
      </c>
      <c r="B978">
        <v>5.524</v>
      </c>
    </row>
    <row r="979" spans="1:2" x14ac:dyDescent="0.25">
      <c r="A979" s="33">
        <v>44158</v>
      </c>
      <c r="B979">
        <v>5.7539999999999996</v>
      </c>
    </row>
    <row r="980" spans="1:2" x14ac:dyDescent="0.25">
      <c r="A980" s="33">
        <v>44159</v>
      </c>
      <c r="B980">
        <v>6.0519999999999996</v>
      </c>
    </row>
    <row r="981" spans="1:2" x14ac:dyDescent="0.25">
      <c r="A981" s="33">
        <v>44160</v>
      </c>
      <c r="B981">
        <v>6.4260000000000002</v>
      </c>
    </row>
    <row r="982" spans="1:2" x14ac:dyDescent="0.25">
      <c r="A982" s="33">
        <v>44161</v>
      </c>
      <c r="B982">
        <v>6.26</v>
      </c>
    </row>
    <row r="983" spans="1:2" x14ac:dyDescent="0.25">
      <c r="A983" s="33">
        <v>44162</v>
      </c>
      <c r="B983">
        <v>6.12</v>
      </c>
    </row>
    <row r="984" spans="1:2" x14ac:dyDescent="0.25">
      <c r="A984" s="33">
        <v>44165</v>
      </c>
      <c r="B984">
        <v>6.0979999999999999</v>
      </c>
    </row>
    <row r="985" spans="1:2" x14ac:dyDescent="0.25">
      <c r="A985" s="33">
        <v>44166</v>
      </c>
      <c r="B985">
        <v>6.03</v>
      </c>
    </row>
    <row r="986" spans="1:2" x14ac:dyDescent="0.25">
      <c r="A986" s="33">
        <v>44167</v>
      </c>
      <c r="B986">
        <v>6.19</v>
      </c>
    </row>
    <row r="987" spans="1:2" x14ac:dyDescent="0.25">
      <c r="A987" s="33">
        <v>44168</v>
      </c>
      <c r="B987">
        <v>6.16</v>
      </c>
    </row>
    <row r="988" spans="1:2" x14ac:dyDescent="0.25">
      <c r="A988" s="33">
        <v>44169</v>
      </c>
      <c r="B988">
        <v>6.2619999999999996</v>
      </c>
    </row>
    <row r="989" spans="1:2" x14ac:dyDescent="0.25">
      <c r="A989" s="33">
        <v>44172</v>
      </c>
      <c r="B989">
        <v>6.5</v>
      </c>
    </row>
    <row r="990" spans="1:2" x14ac:dyDescent="0.25">
      <c r="A990" s="33">
        <v>44173</v>
      </c>
      <c r="B990">
        <v>6.36</v>
      </c>
    </row>
    <row r="991" spans="1:2" x14ac:dyDescent="0.25">
      <c r="A991" s="33">
        <v>44174</v>
      </c>
      <c r="B991">
        <v>6.49</v>
      </c>
    </row>
    <row r="992" spans="1:2" x14ac:dyDescent="0.25">
      <c r="A992" s="33">
        <v>44175</v>
      </c>
      <c r="B992">
        <v>6.4580000000000002</v>
      </c>
    </row>
    <row r="993" spans="1:2" x14ac:dyDescent="0.25">
      <c r="A993" s="33">
        <v>44176</v>
      </c>
      <c r="B993">
        <v>6.78</v>
      </c>
    </row>
    <row r="994" spans="1:2" x14ac:dyDescent="0.25">
      <c r="A994" s="33">
        <v>44179</v>
      </c>
      <c r="B994">
        <v>6.88</v>
      </c>
    </row>
    <row r="995" spans="1:2" x14ac:dyDescent="0.25">
      <c r="A995" s="33">
        <v>44180</v>
      </c>
      <c r="B995">
        <v>6.7519999999999998</v>
      </c>
    </row>
    <row r="996" spans="1:2" x14ac:dyDescent="0.25">
      <c r="A996" s="33">
        <v>44181</v>
      </c>
      <c r="B996">
        <v>6.7960000000000003</v>
      </c>
    </row>
    <row r="997" spans="1:2" x14ac:dyDescent="0.25">
      <c r="A997" s="33">
        <v>44182</v>
      </c>
      <c r="B997">
        <v>7</v>
      </c>
    </row>
    <row r="998" spans="1:2" x14ac:dyDescent="0.25">
      <c r="A998" s="33">
        <v>44183</v>
      </c>
      <c r="B998">
        <v>7.0839999999999996</v>
      </c>
    </row>
    <row r="999" spans="1:2" x14ac:dyDescent="0.25">
      <c r="A999" s="33">
        <v>44186</v>
      </c>
      <c r="B999">
        <v>6.72</v>
      </c>
    </row>
    <row r="1000" spans="1:2" x14ac:dyDescent="0.25">
      <c r="A1000" s="33">
        <v>44187</v>
      </c>
      <c r="B1000">
        <v>6.68</v>
      </c>
    </row>
    <row r="1001" spans="1:2" x14ac:dyDescent="0.25">
      <c r="A1001" s="33">
        <v>44188</v>
      </c>
      <c r="B1001">
        <v>6.6260000000000003</v>
      </c>
    </row>
    <row r="1002" spans="1:2" x14ac:dyDescent="0.25">
      <c r="A1002" s="33">
        <v>44193</v>
      </c>
      <c r="B1002">
        <v>6.75</v>
      </c>
    </row>
    <row r="1003" spans="1:2" x14ac:dyDescent="0.25">
      <c r="A1003" s="33">
        <v>44194</v>
      </c>
      <c r="B1003">
        <v>7</v>
      </c>
    </row>
    <row r="1004" spans="1:2" x14ac:dyDescent="0.25">
      <c r="A1004" s="33">
        <v>44195</v>
      </c>
      <c r="B1004">
        <v>6.97</v>
      </c>
    </row>
    <row r="1005" spans="1:2" x14ac:dyDescent="0.25">
      <c r="A1005" s="33">
        <v>44200</v>
      </c>
      <c r="B1005">
        <v>7.03</v>
      </c>
    </row>
    <row r="1006" spans="1:2" x14ac:dyDescent="0.25">
      <c r="A1006" s="33">
        <v>44201</v>
      </c>
      <c r="B1006">
        <v>7.01</v>
      </c>
    </row>
    <row r="1007" spans="1:2" x14ac:dyDescent="0.25">
      <c r="A1007" s="33">
        <v>44202</v>
      </c>
      <c r="B1007">
        <v>7.4</v>
      </c>
    </row>
    <row r="1008" spans="1:2" x14ac:dyDescent="0.25">
      <c r="A1008" s="33">
        <v>44203</v>
      </c>
      <c r="B1008">
        <v>7.5620000000000003</v>
      </c>
    </row>
    <row r="1009" spans="1:2" x14ac:dyDescent="0.25">
      <c r="A1009" s="33">
        <v>44204</v>
      </c>
      <c r="B1009">
        <v>7.8380000000000001</v>
      </c>
    </row>
    <row r="1010" spans="1:2" x14ac:dyDescent="0.25">
      <c r="A1010" s="33">
        <v>44207</v>
      </c>
      <c r="B1010">
        <v>7.6459999999999999</v>
      </c>
    </row>
    <row r="1011" spans="1:2" x14ac:dyDescent="0.25">
      <c r="A1011" s="33">
        <v>44208</v>
      </c>
      <c r="B1011">
        <v>7.67</v>
      </c>
    </row>
    <row r="1012" spans="1:2" x14ac:dyDescent="0.25">
      <c r="A1012" s="33">
        <v>44209</v>
      </c>
      <c r="B1012">
        <v>8.08</v>
      </c>
    </row>
    <row r="1013" spans="1:2" x14ac:dyDescent="0.25">
      <c r="A1013" s="33">
        <v>44210</v>
      </c>
      <c r="B1013">
        <v>8</v>
      </c>
    </row>
    <row r="1014" spans="1:2" x14ac:dyDescent="0.25">
      <c r="A1014" s="33">
        <v>44211</v>
      </c>
      <c r="B1014">
        <v>7.89</v>
      </c>
    </row>
    <row r="1015" spans="1:2" x14ac:dyDescent="0.25">
      <c r="A1015" s="33">
        <v>44214</v>
      </c>
      <c r="B1015">
        <v>7.6</v>
      </c>
    </row>
    <row r="1016" spans="1:2" x14ac:dyDescent="0.25">
      <c r="A1016" s="33">
        <v>44215</v>
      </c>
      <c r="B1016">
        <v>8.2119999999999997</v>
      </c>
    </row>
    <row r="1017" spans="1:2" x14ac:dyDescent="0.25">
      <c r="A1017" s="33">
        <v>44216</v>
      </c>
      <c r="B1017">
        <v>8.4</v>
      </c>
    </row>
    <row r="1018" spans="1:2" x14ac:dyDescent="0.25">
      <c r="A1018" s="33">
        <v>44217</v>
      </c>
      <c r="B1018">
        <v>8.4</v>
      </c>
    </row>
    <row r="1019" spans="1:2" x14ac:dyDescent="0.25">
      <c r="A1019" s="33">
        <v>44218</v>
      </c>
      <c r="B1019">
        <v>7.9160000000000004</v>
      </c>
    </row>
    <row r="1020" spans="1:2" x14ac:dyDescent="0.25">
      <c r="A1020" s="34">
        <v>44221</v>
      </c>
      <c r="B1020">
        <v>7.61</v>
      </c>
    </row>
    <row r="1021" spans="1:2" x14ac:dyDescent="0.25">
      <c r="A1021" s="34">
        <v>44222</v>
      </c>
      <c r="B1021">
        <v>6.984</v>
      </c>
    </row>
    <row r="1022" spans="1:2" x14ac:dyDescent="0.25">
      <c r="A1022" s="34">
        <v>44223</v>
      </c>
      <c r="B1022">
        <v>7.1719999999999997</v>
      </c>
    </row>
    <row r="1023" spans="1:2" x14ac:dyDescent="0.25">
      <c r="A1023" s="34">
        <v>44224</v>
      </c>
      <c r="B1023">
        <v>6.5</v>
      </c>
    </row>
    <row r="1024" spans="1:2" x14ac:dyDescent="0.25">
      <c r="A1024" s="34">
        <v>44225</v>
      </c>
      <c r="B1024">
        <v>6.7</v>
      </c>
    </row>
    <row r="1025" spans="1:2" x14ac:dyDescent="0.25">
      <c r="A1025" s="34">
        <v>44228</v>
      </c>
      <c r="B1025">
        <v>6.86</v>
      </c>
    </row>
    <row r="1026" spans="1:2" x14ac:dyDescent="0.25">
      <c r="A1026" s="34">
        <v>44229</v>
      </c>
      <c r="B1026">
        <v>6.9539999999999997</v>
      </c>
    </row>
    <row r="1027" spans="1:2" x14ac:dyDescent="0.25">
      <c r="A1027" s="34">
        <v>44230</v>
      </c>
      <c r="B1027">
        <v>7.36</v>
      </c>
    </row>
    <row r="1028" spans="1:2" x14ac:dyDescent="0.25">
      <c r="A1028" s="34">
        <v>44231</v>
      </c>
      <c r="B1028">
        <v>7.226</v>
      </c>
    </row>
    <row r="1029" spans="1:2" x14ac:dyDescent="0.25">
      <c r="A1029" s="34">
        <v>44232</v>
      </c>
      <c r="B1029">
        <v>7.35</v>
      </c>
    </row>
    <row r="1030" spans="1:2" x14ac:dyDescent="0.25">
      <c r="A1030" s="34">
        <v>44235</v>
      </c>
      <c r="B1030">
        <v>7.468</v>
      </c>
    </row>
    <row r="1031" spans="1:2" x14ac:dyDescent="0.25">
      <c r="A1031" s="34">
        <v>44236</v>
      </c>
      <c r="B1031">
        <v>7.6</v>
      </c>
    </row>
    <row r="1032" spans="1:2" x14ac:dyDescent="0.25">
      <c r="A1032" s="34">
        <v>44237</v>
      </c>
      <c r="B1032">
        <v>7.56</v>
      </c>
    </row>
    <row r="1033" spans="1:2" x14ac:dyDescent="0.25">
      <c r="A1033" s="34">
        <v>44238</v>
      </c>
      <c r="B1033">
        <v>7.49</v>
      </c>
    </row>
    <row r="1034" spans="1:2" x14ac:dyDescent="0.25">
      <c r="A1034" s="34">
        <v>44239</v>
      </c>
      <c r="B1034">
        <v>7.75</v>
      </c>
    </row>
    <row r="1035" spans="1:2" x14ac:dyDescent="0.25">
      <c r="A1035" s="34">
        <v>44242</v>
      </c>
      <c r="B1035">
        <v>7.98</v>
      </c>
    </row>
    <row r="1036" spans="1:2" x14ac:dyDescent="0.25">
      <c r="A1036" s="34">
        <v>44243</v>
      </c>
      <c r="B1036">
        <v>7.8319999999999999</v>
      </c>
    </row>
    <row r="1037" spans="1:2" x14ac:dyDescent="0.25">
      <c r="A1037" s="34">
        <v>44244</v>
      </c>
      <c r="B1037">
        <v>7.9960000000000004</v>
      </c>
    </row>
    <row r="1038" spans="1:2" x14ac:dyDescent="0.25">
      <c r="A1038" s="34">
        <v>44245</v>
      </c>
      <c r="B1038">
        <v>8.1020000000000003</v>
      </c>
    </row>
    <row r="1039" spans="1:2" x14ac:dyDescent="0.25">
      <c r="A1039" s="34">
        <v>44246</v>
      </c>
      <c r="B1039">
        <v>7.68</v>
      </c>
    </row>
    <row r="1040" spans="1:2" x14ac:dyDescent="0.25">
      <c r="A1040" s="34">
        <v>44249</v>
      </c>
      <c r="B1040">
        <v>7.9</v>
      </c>
    </row>
    <row r="1041" spans="1:2" x14ac:dyDescent="0.25">
      <c r="A1041" s="34">
        <v>44250</v>
      </c>
      <c r="B1041">
        <v>8.1620000000000008</v>
      </c>
    </row>
    <row r="1042" spans="1:2" x14ac:dyDescent="0.25">
      <c r="A1042" s="34">
        <v>44251</v>
      </c>
      <c r="B1042">
        <v>8.01</v>
      </c>
    </row>
    <row r="1043" spans="1:2" x14ac:dyDescent="0.25">
      <c r="A1043" s="34">
        <v>44252</v>
      </c>
      <c r="B1043">
        <v>8.4499999999999993</v>
      </c>
    </row>
    <row r="1044" spans="1:2" x14ac:dyDescent="0.25">
      <c r="A1044" s="34">
        <v>44253</v>
      </c>
      <c r="B1044">
        <v>8.0500000000000007</v>
      </c>
    </row>
    <row r="1045" spans="1:2" x14ac:dyDescent="0.25">
      <c r="A1045" s="34">
        <v>44256</v>
      </c>
      <c r="B1045">
        <v>8.2200000000000006</v>
      </c>
    </row>
    <row r="1046" spans="1:2" x14ac:dyDescent="0.25">
      <c r="A1046" s="34">
        <v>44257</v>
      </c>
      <c r="B1046">
        <v>8.2200000000000006</v>
      </c>
    </row>
    <row r="1047" spans="1:2" x14ac:dyDescent="0.25">
      <c r="A1047" s="34">
        <v>44258</v>
      </c>
      <c r="B1047">
        <v>8.3079999999999998</v>
      </c>
    </row>
    <row r="1048" spans="1:2" x14ac:dyDescent="0.25">
      <c r="A1048" s="34">
        <v>44259</v>
      </c>
      <c r="B1048">
        <v>8.1999999999999993</v>
      </c>
    </row>
    <row r="1049" spans="1:2" x14ac:dyDescent="0.25">
      <c r="A1049" s="34">
        <v>44260</v>
      </c>
      <c r="B1049">
        <v>8.4</v>
      </c>
    </row>
    <row r="1050" spans="1:2" x14ac:dyDescent="0.25">
      <c r="A1050" s="34">
        <v>44263</v>
      </c>
      <c r="B1050">
        <v>9.11</v>
      </c>
    </row>
    <row r="1051" spans="1:2" x14ac:dyDescent="0.25">
      <c r="A1051" s="34">
        <v>44264</v>
      </c>
      <c r="B1051">
        <v>9.1</v>
      </c>
    </row>
    <row r="1052" spans="1:2" x14ac:dyDescent="0.25">
      <c r="A1052" s="34">
        <v>44265</v>
      </c>
      <c r="B1052">
        <v>9.1999999999999993</v>
      </c>
    </row>
    <row r="1053" spans="1:2" x14ac:dyDescent="0.25">
      <c r="A1053" s="34">
        <v>44266</v>
      </c>
      <c r="B1053">
        <v>10.199999999999999</v>
      </c>
    </row>
    <row r="1054" spans="1:2" x14ac:dyDescent="0.25">
      <c r="A1054" s="34">
        <v>44267</v>
      </c>
      <c r="B1054">
        <v>10.6</v>
      </c>
    </row>
    <row r="1055" spans="1:2" x14ac:dyDescent="0.25">
      <c r="A1055" s="34">
        <v>44270</v>
      </c>
      <c r="B1055">
        <v>10.8</v>
      </c>
    </row>
    <row r="1056" spans="1:2" x14ac:dyDescent="0.25">
      <c r="A1056" s="34">
        <v>44271</v>
      </c>
      <c r="B1056">
        <v>10.795</v>
      </c>
    </row>
    <row r="1057" spans="1:2" x14ac:dyDescent="0.25">
      <c r="A1057" s="34">
        <v>44272</v>
      </c>
      <c r="B1057">
        <v>10.29</v>
      </c>
    </row>
    <row r="1058" spans="1:2" x14ac:dyDescent="0.25">
      <c r="A1058" s="34">
        <v>44273</v>
      </c>
      <c r="B1058">
        <v>10.3</v>
      </c>
    </row>
    <row r="1059" spans="1:2" x14ac:dyDescent="0.25">
      <c r="A1059" s="34">
        <v>44274</v>
      </c>
      <c r="B1059">
        <v>9.31</v>
      </c>
    </row>
    <row r="1060" spans="1:2" x14ac:dyDescent="0.25">
      <c r="A1060" s="34">
        <v>44277</v>
      </c>
      <c r="B1060">
        <v>9.84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11A94-D2D9-4C14-8793-4D70BD0B5088}">
  <dimension ref="A2:I48"/>
  <sheetViews>
    <sheetView topLeftCell="A7" workbookViewId="0">
      <selection activeCell="H25" sqref="H25"/>
    </sheetView>
  </sheetViews>
  <sheetFormatPr defaultRowHeight="15" x14ac:dyDescent="0.25"/>
  <cols>
    <col min="1" max="2" width="12.28515625" customWidth="1"/>
    <col min="3" max="3" width="13.42578125" customWidth="1"/>
    <col min="4" max="4" width="14.140625" customWidth="1"/>
    <col min="5" max="5" width="19" customWidth="1"/>
    <col min="6" max="6" width="14.85546875" customWidth="1"/>
    <col min="7" max="7" width="17.140625" customWidth="1"/>
    <col min="8" max="8" width="16.42578125" customWidth="1"/>
  </cols>
  <sheetData>
    <row r="2" spans="1:9" x14ac:dyDescent="0.25">
      <c r="A2" t="s">
        <v>74</v>
      </c>
      <c r="B2" t="s">
        <v>84</v>
      </c>
      <c r="C2" t="s">
        <v>75</v>
      </c>
      <c r="D2" t="s">
        <v>76</v>
      </c>
      <c r="E2" t="s">
        <v>87</v>
      </c>
      <c r="F2" t="s">
        <v>77</v>
      </c>
      <c r="G2" t="s">
        <v>78</v>
      </c>
      <c r="H2" t="s">
        <v>79</v>
      </c>
      <c r="I2" t="s">
        <v>104</v>
      </c>
    </row>
    <row r="4" spans="1:9" x14ac:dyDescent="0.25">
      <c r="A4" s="6" t="s">
        <v>80</v>
      </c>
      <c r="B4" s="6"/>
    </row>
    <row r="6" spans="1:9" x14ac:dyDescent="0.25">
      <c r="B6" s="25" t="s">
        <v>100</v>
      </c>
      <c r="C6" t="s">
        <v>99</v>
      </c>
      <c r="D6" t="s">
        <v>101</v>
      </c>
      <c r="F6" s="26">
        <v>0.85</v>
      </c>
      <c r="G6" s="3" t="s">
        <v>102</v>
      </c>
      <c r="H6" t="s">
        <v>103</v>
      </c>
      <c r="I6" t="s">
        <v>105</v>
      </c>
    </row>
    <row r="7" spans="1:9" x14ac:dyDescent="0.25">
      <c r="B7" s="25" t="s">
        <v>100</v>
      </c>
      <c r="C7" t="s">
        <v>106</v>
      </c>
      <c r="D7" t="s">
        <v>101</v>
      </c>
      <c r="F7" s="26">
        <v>0.85</v>
      </c>
      <c r="G7" s="3" t="s">
        <v>107</v>
      </c>
      <c r="H7" t="s">
        <v>90</v>
      </c>
    </row>
    <row r="8" spans="1:9" x14ac:dyDescent="0.25">
      <c r="B8" s="25" t="s">
        <v>100</v>
      </c>
      <c r="C8" t="s">
        <v>109</v>
      </c>
      <c r="D8" t="s">
        <v>101</v>
      </c>
      <c r="F8" s="26">
        <v>0.85</v>
      </c>
      <c r="G8" s="3" t="s">
        <v>108</v>
      </c>
      <c r="H8" t="s">
        <v>90</v>
      </c>
    </row>
    <row r="9" spans="1:9" x14ac:dyDescent="0.25">
      <c r="B9" s="25" t="s">
        <v>110</v>
      </c>
      <c r="C9" s="25" t="s">
        <v>116</v>
      </c>
      <c r="D9" t="s">
        <v>111</v>
      </c>
      <c r="E9" t="s">
        <v>113</v>
      </c>
      <c r="F9" s="26">
        <v>0.2</v>
      </c>
      <c r="G9" s="3" t="s">
        <v>114</v>
      </c>
      <c r="H9" t="s">
        <v>112</v>
      </c>
    </row>
    <row r="10" spans="1:9" x14ac:dyDescent="0.25">
      <c r="B10" s="25" t="s">
        <v>110</v>
      </c>
      <c r="C10" s="25" t="s">
        <v>117</v>
      </c>
      <c r="D10" t="s">
        <v>111</v>
      </c>
      <c r="F10" s="26">
        <v>0.2</v>
      </c>
      <c r="G10" s="3" t="s">
        <v>115</v>
      </c>
      <c r="H10" t="s">
        <v>90</v>
      </c>
    </row>
    <row r="11" spans="1:9" x14ac:dyDescent="0.25">
      <c r="B11" s="25" t="s">
        <v>110</v>
      </c>
      <c r="C11" s="25" t="s">
        <v>119</v>
      </c>
      <c r="D11" t="s">
        <v>111</v>
      </c>
      <c r="F11" s="26">
        <v>0.2</v>
      </c>
      <c r="G11" s="3" t="s">
        <v>118</v>
      </c>
      <c r="H11" t="s">
        <v>90</v>
      </c>
    </row>
    <row r="12" spans="1:9" x14ac:dyDescent="0.25">
      <c r="B12" s="25" t="s">
        <v>120</v>
      </c>
      <c r="C12" s="25" t="s">
        <v>122</v>
      </c>
      <c r="D12" t="s">
        <v>111</v>
      </c>
      <c r="E12" t="s">
        <v>123</v>
      </c>
      <c r="F12" s="26">
        <v>0.28853000000000001</v>
      </c>
      <c r="G12" s="3" t="s">
        <v>121</v>
      </c>
      <c r="H12" t="s">
        <v>112</v>
      </c>
    </row>
    <row r="13" spans="1:9" x14ac:dyDescent="0.25">
      <c r="B13" s="25" t="s">
        <v>174</v>
      </c>
      <c r="C13" s="25" t="s">
        <v>176</v>
      </c>
      <c r="D13" t="s">
        <v>101</v>
      </c>
      <c r="E13" t="s">
        <v>177</v>
      </c>
      <c r="F13" s="26">
        <v>0.87</v>
      </c>
      <c r="G13" s="3" t="s">
        <v>175</v>
      </c>
      <c r="H13" t="s">
        <v>112</v>
      </c>
    </row>
    <row r="14" spans="1:9" x14ac:dyDescent="0.25">
      <c r="B14" s="25" t="s">
        <v>124</v>
      </c>
      <c r="C14" s="25" t="s">
        <v>125</v>
      </c>
      <c r="D14" t="s">
        <v>97</v>
      </c>
      <c r="E14" t="s">
        <v>127</v>
      </c>
      <c r="F14" s="26">
        <v>9.2999999999999999E-2</v>
      </c>
      <c r="G14" s="3" t="s">
        <v>126</v>
      </c>
      <c r="H14" t="s">
        <v>112</v>
      </c>
      <c r="I14" t="s">
        <v>128</v>
      </c>
    </row>
    <row r="15" spans="1:9" x14ac:dyDescent="0.25">
      <c r="B15" s="25" t="s">
        <v>130</v>
      </c>
      <c r="C15" s="25" t="s">
        <v>131</v>
      </c>
      <c r="D15" t="s">
        <v>86</v>
      </c>
      <c r="E15" t="s">
        <v>132</v>
      </c>
      <c r="F15" s="26">
        <v>0.142567</v>
      </c>
      <c r="G15" s="3" t="s">
        <v>129</v>
      </c>
      <c r="H15" t="s">
        <v>112</v>
      </c>
    </row>
    <row r="16" spans="1:9" x14ac:dyDescent="0.25">
      <c r="B16" s="25" t="s">
        <v>133</v>
      </c>
      <c r="C16" s="25" t="s">
        <v>134</v>
      </c>
      <c r="D16" t="s">
        <v>86</v>
      </c>
      <c r="E16" t="s">
        <v>132</v>
      </c>
      <c r="F16" s="26">
        <v>0.142567</v>
      </c>
      <c r="G16" s="3" t="s">
        <v>135</v>
      </c>
      <c r="H16" t="s">
        <v>112</v>
      </c>
    </row>
    <row r="17" spans="2:8" x14ac:dyDescent="0.25">
      <c r="B17" s="25" t="s">
        <v>133</v>
      </c>
      <c r="C17" s="25" t="s">
        <v>136</v>
      </c>
      <c r="D17" t="s">
        <v>86</v>
      </c>
      <c r="E17" t="s">
        <v>132</v>
      </c>
      <c r="F17" s="26">
        <v>0.142567</v>
      </c>
      <c r="G17" s="3" t="s">
        <v>137</v>
      </c>
      <c r="H17" t="s">
        <v>112</v>
      </c>
    </row>
    <row r="18" spans="2:8" x14ac:dyDescent="0.25">
      <c r="B18" s="25" t="s">
        <v>133</v>
      </c>
      <c r="C18" s="25" t="s">
        <v>138</v>
      </c>
      <c r="D18" t="s">
        <v>86</v>
      </c>
      <c r="E18" t="s">
        <v>132</v>
      </c>
      <c r="F18" s="26">
        <v>0.142567</v>
      </c>
      <c r="G18" s="3" t="s">
        <v>139</v>
      </c>
      <c r="H18" t="s">
        <v>112</v>
      </c>
    </row>
    <row r="19" spans="2:8" x14ac:dyDescent="0.25">
      <c r="B19" s="25" t="s">
        <v>178</v>
      </c>
      <c r="C19" s="25" t="s">
        <v>179</v>
      </c>
      <c r="D19" t="s">
        <v>86</v>
      </c>
      <c r="E19" t="s">
        <v>132</v>
      </c>
      <c r="F19" s="26">
        <v>0.142567</v>
      </c>
      <c r="G19" s="3" t="s">
        <v>180</v>
      </c>
      <c r="H19" t="s">
        <v>112</v>
      </c>
    </row>
    <row r="20" spans="2:8" x14ac:dyDescent="0.25">
      <c r="B20" s="25" t="s">
        <v>140</v>
      </c>
      <c r="C20" s="25" t="s">
        <v>141</v>
      </c>
      <c r="D20" t="s">
        <v>111</v>
      </c>
      <c r="E20" t="s">
        <v>143</v>
      </c>
      <c r="F20" s="26">
        <v>0.45</v>
      </c>
      <c r="G20" s="3" t="s">
        <v>142</v>
      </c>
      <c r="H20" t="s">
        <v>112</v>
      </c>
    </row>
    <row r="21" spans="2:8" x14ac:dyDescent="0.25">
      <c r="B21" s="25" t="s">
        <v>140</v>
      </c>
      <c r="C21" s="25" t="s">
        <v>144</v>
      </c>
      <c r="D21" t="s">
        <v>111</v>
      </c>
      <c r="E21" t="s">
        <v>146</v>
      </c>
      <c r="F21" s="26">
        <v>0.45</v>
      </c>
      <c r="G21" s="3" t="s">
        <v>145</v>
      </c>
      <c r="H21" t="s">
        <v>90</v>
      </c>
    </row>
    <row r="22" spans="2:8" x14ac:dyDescent="0.25">
      <c r="B22" s="25" t="s">
        <v>140</v>
      </c>
      <c r="C22" s="25" t="s">
        <v>181</v>
      </c>
      <c r="D22" t="s">
        <v>101</v>
      </c>
      <c r="E22" t="s">
        <v>183</v>
      </c>
      <c r="F22" s="26">
        <v>0.55000000000000004</v>
      </c>
      <c r="G22" s="3" t="s">
        <v>182</v>
      </c>
      <c r="H22" t="s">
        <v>211</v>
      </c>
    </row>
    <row r="23" spans="2:8" x14ac:dyDescent="0.25">
      <c r="B23" s="25" t="s">
        <v>185</v>
      </c>
      <c r="C23" s="25" t="s">
        <v>186</v>
      </c>
      <c r="D23" t="s">
        <v>101</v>
      </c>
      <c r="E23" t="s">
        <v>183</v>
      </c>
      <c r="F23" s="26">
        <v>0.55000000000000004</v>
      </c>
      <c r="G23" s="3" t="s">
        <v>184</v>
      </c>
      <c r="H23" t="s">
        <v>211</v>
      </c>
    </row>
    <row r="24" spans="2:8" x14ac:dyDescent="0.25">
      <c r="B24" s="25" t="s">
        <v>187</v>
      </c>
      <c r="C24" s="25" t="s">
        <v>188</v>
      </c>
      <c r="D24" t="s">
        <v>111</v>
      </c>
      <c r="E24" t="s">
        <v>190</v>
      </c>
      <c r="F24" s="26">
        <v>0.45</v>
      </c>
      <c r="G24" s="3" t="s">
        <v>189</v>
      </c>
      <c r="H24" t="s">
        <v>212</v>
      </c>
    </row>
    <row r="25" spans="2:8" x14ac:dyDescent="0.25">
      <c r="B25" s="25" t="s">
        <v>191</v>
      </c>
      <c r="C25" s="25" t="s">
        <v>192</v>
      </c>
      <c r="D25" t="s">
        <v>194</v>
      </c>
      <c r="E25" t="s">
        <v>195</v>
      </c>
      <c r="F25" s="26">
        <v>0.15</v>
      </c>
      <c r="G25" s="3" t="s">
        <v>193</v>
      </c>
      <c r="H25" t="s">
        <v>112</v>
      </c>
    </row>
    <row r="26" spans="2:8" x14ac:dyDescent="0.25">
      <c r="B26" s="25" t="s">
        <v>196</v>
      </c>
      <c r="C26" s="25" t="s">
        <v>197</v>
      </c>
      <c r="D26" t="s">
        <v>194</v>
      </c>
      <c r="E26" t="s">
        <v>199</v>
      </c>
      <c r="F26" s="26">
        <v>0.15</v>
      </c>
      <c r="G26" s="3" t="s">
        <v>198</v>
      </c>
      <c r="H26" t="s">
        <v>82</v>
      </c>
    </row>
    <row r="27" spans="2:8" x14ac:dyDescent="0.25">
      <c r="B27" s="25" t="s">
        <v>147</v>
      </c>
      <c r="C27" s="25" t="s">
        <v>148</v>
      </c>
      <c r="D27" t="s">
        <v>97</v>
      </c>
      <c r="F27" s="26">
        <v>0.3</v>
      </c>
      <c r="G27" s="3" t="s">
        <v>149</v>
      </c>
      <c r="H27" t="s">
        <v>90</v>
      </c>
    </row>
    <row r="28" spans="2:8" x14ac:dyDescent="0.25">
      <c r="B28" s="25" t="s">
        <v>150</v>
      </c>
      <c r="C28" s="25" t="s">
        <v>151</v>
      </c>
      <c r="D28" t="s">
        <v>101</v>
      </c>
      <c r="F28" s="26">
        <v>0.4</v>
      </c>
      <c r="G28" s="3" t="s">
        <v>152</v>
      </c>
      <c r="H28" t="s">
        <v>90</v>
      </c>
    </row>
    <row r="29" spans="2:8" x14ac:dyDescent="0.25">
      <c r="B29" s="25" t="s">
        <v>204</v>
      </c>
      <c r="C29" s="25" t="s">
        <v>205</v>
      </c>
      <c r="D29" t="s">
        <v>97</v>
      </c>
      <c r="E29" t="s">
        <v>207</v>
      </c>
      <c r="F29" s="26">
        <v>0.2</v>
      </c>
      <c r="G29" s="3" t="s">
        <v>206</v>
      </c>
      <c r="H29" t="s">
        <v>82</v>
      </c>
    </row>
    <row r="30" spans="2:8" x14ac:dyDescent="0.25">
      <c r="B30" s="25" t="s">
        <v>153</v>
      </c>
      <c r="C30" s="25" t="s">
        <v>154</v>
      </c>
      <c r="D30" t="s">
        <v>155</v>
      </c>
      <c r="E30" t="s">
        <v>156</v>
      </c>
      <c r="F30" s="26">
        <v>0.17</v>
      </c>
      <c r="G30" s="3" t="s">
        <v>157</v>
      </c>
      <c r="H30" t="s">
        <v>112</v>
      </c>
    </row>
    <row r="31" spans="2:8" x14ac:dyDescent="0.25">
      <c r="B31" s="25" t="s">
        <v>158</v>
      </c>
      <c r="C31" s="25" t="s">
        <v>159</v>
      </c>
      <c r="D31" t="s">
        <v>155</v>
      </c>
      <c r="E31" t="s">
        <v>156</v>
      </c>
      <c r="F31" s="26">
        <v>0.17</v>
      </c>
      <c r="G31" s="3" t="s">
        <v>160</v>
      </c>
      <c r="H31" t="s">
        <v>112</v>
      </c>
    </row>
    <row r="32" spans="2:8" x14ac:dyDescent="0.25">
      <c r="B32" s="25" t="s">
        <v>162</v>
      </c>
      <c r="C32" s="25" t="s">
        <v>163</v>
      </c>
      <c r="D32" t="s">
        <v>155</v>
      </c>
      <c r="E32" t="s">
        <v>156</v>
      </c>
      <c r="F32" s="26">
        <v>0.17</v>
      </c>
      <c r="G32" s="3" t="s">
        <v>161</v>
      </c>
      <c r="H32" t="s">
        <v>112</v>
      </c>
    </row>
    <row r="33" spans="2:8" x14ac:dyDescent="0.25">
      <c r="B33" s="25" t="s">
        <v>164</v>
      </c>
      <c r="C33" s="25" t="s">
        <v>165</v>
      </c>
      <c r="D33" t="s">
        <v>155</v>
      </c>
      <c r="E33" t="s">
        <v>156</v>
      </c>
      <c r="F33" s="26">
        <v>0.17</v>
      </c>
      <c r="G33" s="3" t="s">
        <v>166</v>
      </c>
      <c r="H33" t="s">
        <v>112</v>
      </c>
    </row>
    <row r="34" spans="2:8" x14ac:dyDescent="0.25">
      <c r="B34" s="25" t="s">
        <v>158</v>
      </c>
      <c r="C34" s="25" t="s">
        <v>172</v>
      </c>
      <c r="D34" t="s">
        <v>97</v>
      </c>
      <c r="E34" t="s">
        <v>173</v>
      </c>
      <c r="F34" s="26">
        <v>0.32</v>
      </c>
      <c r="G34" s="3" t="s">
        <v>171</v>
      </c>
      <c r="H34" t="s">
        <v>112</v>
      </c>
    </row>
    <row r="35" spans="2:8" x14ac:dyDescent="0.25">
      <c r="B35" s="25" t="s">
        <v>168</v>
      </c>
      <c r="C35" s="25" t="s">
        <v>169</v>
      </c>
      <c r="D35" t="s">
        <v>101</v>
      </c>
      <c r="E35" t="s">
        <v>170</v>
      </c>
      <c r="F35" s="26">
        <v>0.5</v>
      </c>
      <c r="G35" s="3" t="s">
        <v>167</v>
      </c>
      <c r="H35" t="s">
        <v>112</v>
      </c>
    </row>
    <row r="36" spans="2:8" x14ac:dyDescent="0.25">
      <c r="B36" s="25"/>
      <c r="C36" s="25"/>
      <c r="F36" s="26"/>
      <c r="G36" s="3"/>
    </row>
    <row r="37" spans="2:8" x14ac:dyDescent="0.25">
      <c r="B37" t="s">
        <v>85</v>
      </c>
      <c r="C37" t="s">
        <v>83</v>
      </c>
      <c r="D37" t="s">
        <v>86</v>
      </c>
      <c r="E37" t="s">
        <v>88</v>
      </c>
      <c r="F37" s="26">
        <v>0.2</v>
      </c>
      <c r="G37" s="3" t="s">
        <v>81</v>
      </c>
      <c r="H37" t="s">
        <v>82</v>
      </c>
    </row>
    <row r="38" spans="2:8" x14ac:dyDescent="0.25">
      <c r="B38" t="s">
        <v>91</v>
      </c>
      <c r="C38" t="s">
        <v>92</v>
      </c>
      <c r="D38" t="s">
        <v>86</v>
      </c>
      <c r="F38" s="26">
        <v>0.2</v>
      </c>
      <c r="G38" s="3" t="s">
        <v>89</v>
      </c>
      <c r="H38" t="s">
        <v>90</v>
      </c>
    </row>
    <row r="39" spans="2:8" x14ac:dyDescent="0.25">
      <c r="B39" t="s">
        <v>93</v>
      </c>
      <c r="C39" t="s">
        <v>94</v>
      </c>
      <c r="D39" t="s">
        <v>86</v>
      </c>
      <c r="F39" s="26">
        <v>0.2</v>
      </c>
      <c r="G39" s="3" t="s">
        <v>89</v>
      </c>
      <c r="H39" t="s">
        <v>90</v>
      </c>
    </row>
    <row r="40" spans="2:8" x14ac:dyDescent="0.25">
      <c r="B40" t="s">
        <v>95</v>
      </c>
      <c r="C40" t="s">
        <v>96</v>
      </c>
      <c r="D40" t="s">
        <v>97</v>
      </c>
      <c r="F40" s="26">
        <v>0.2</v>
      </c>
      <c r="G40" s="3" t="s">
        <v>98</v>
      </c>
      <c r="H40" t="s">
        <v>90</v>
      </c>
    </row>
    <row r="41" spans="2:8" x14ac:dyDescent="0.25">
      <c r="B41" s="25" t="s">
        <v>201</v>
      </c>
      <c r="C41" s="25">
        <v>586</v>
      </c>
      <c r="D41" t="s">
        <v>202</v>
      </c>
      <c r="E41" t="s">
        <v>203</v>
      </c>
      <c r="F41" s="26">
        <v>7.4999999999999997E-2</v>
      </c>
      <c r="G41" s="3" t="s">
        <v>200</v>
      </c>
      <c r="H41" t="s">
        <v>82</v>
      </c>
    </row>
    <row r="42" spans="2:8" x14ac:dyDescent="0.25">
      <c r="C42" s="25"/>
      <c r="F42" s="26"/>
    </row>
    <row r="43" spans="2:8" x14ac:dyDescent="0.25">
      <c r="C43" s="25"/>
      <c r="F43" s="26"/>
    </row>
    <row r="44" spans="2:8" x14ac:dyDescent="0.25">
      <c r="C44" s="25"/>
      <c r="F44" s="26"/>
    </row>
    <row r="45" spans="2:8" x14ac:dyDescent="0.25">
      <c r="C45" s="25"/>
      <c r="F45" s="26"/>
    </row>
    <row r="46" spans="2:8" x14ac:dyDescent="0.25">
      <c r="C46" s="25"/>
      <c r="F46" s="26"/>
    </row>
    <row r="47" spans="2:8" x14ac:dyDescent="0.25">
      <c r="C47" s="25"/>
      <c r="F47" s="26"/>
    </row>
    <row r="48" spans="2:8" x14ac:dyDescent="0.25">
      <c r="C48" s="25"/>
      <c r="F48" s="26"/>
    </row>
  </sheetData>
  <hyperlinks>
    <hyperlink ref="G37" r:id="rId1" xr:uid="{88947465-FD51-4F18-B61E-4DE28F8CDB26}"/>
    <hyperlink ref="G38" r:id="rId2" xr:uid="{947B0A30-1586-4D74-A745-DA0C3788B4E0}"/>
    <hyperlink ref="G39" r:id="rId3" xr:uid="{3EFBB541-A96D-4E91-9348-A27E71D2D410}"/>
    <hyperlink ref="G40" r:id="rId4" xr:uid="{5FDA97D2-1B6D-4FDF-ADA9-43BBB8D736F6}"/>
    <hyperlink ref="G6" r:id="rId5" xr:uid="{83C97878-A682-4066-A3AA-1BB8183DC641}"/>
    <hyperlink ref="G7" r:id="rId6" xr:uid="{B00B0B4D-EF6B-4439-BFA7-E9BC1F974FE9}"/>
    <hyperlink ref="G8" r:id="rId7" xr:uid="{756AD57D-FFBA-44C2-9240-D4187666140E}"/>
    <hyperlink ref="G9" r:id="rId8" xr:uid="{3C8A12EE-5AE0-4D30-8345-EC52EE5B8932}"/>
    <hyperlink ref="G10" r:id="rId9" xr:uid="{481B95E1-32B8-4329-9B9C-51836825132A}"/>
    <hyperlink ref="G11" r:id="rId10" xr:uid="{D170507B-6726-4C3D-AA51-847E8AA5DAC7}"/>
    <hyperlink ref="G12" r:id="rId11" xr:uid="{66391A28-F98C-4648-9FF0-4A047F3B20A3}"/>
    <hyperlink ref="G14" r:id="rId12" xr:uid="{D1CE78AB-24D2-486D-8BA4-E17929B9006A}"/>
    <hyperlink ref="G15" r:id="rId13" xr:uid="{CFC0BC1D-4349-450E-882A-0E1CBA7E0A5E}"/>
    <hyperlink ref="G16" r:id="rId14" xr:uid="{2F243272-8C16-41DD-B712-365EAFB01EA8}"/>
    <hyperlink ref="G17" r:id="rId15" xr:uid="{5E369A0F-7C4D-4E0B-A1FD-0180F7F37C49}"/>
    <hyperlink ref="G18" r:id="rId16" xr:uid="{1AFE30C5-865C-4887-AC3D-3950D41CB075}"/>
    <hyperlink ref="G20" r:id="rId17" xr:uid="{44E8336A-D729-41EE-B73C-27AA9409ECAF}"/>
    <hyperlink ref="G21" r:id="rId18" xr:uid="{46AA7508-9CF9-4FD3-A2DB-BF886C655CDD}"/>
    <hyperlink ref="G27" r:id="rId19" xr:uid="{0A68EAFB-CDBB-4FBC-9F7F-FBAD3774EAC4}"/>
    <hyperlink ref="G28" r:id="rId20" xr:uid="{A5EA4B4B-6462-4290-BE9A-A35879482B56}"/>
    <hyperlink ref="G30" r:id="rId21" xr:uid="{AC5B6FAC-5A2D-45BA-8D0E-BFEC7AFBD137}"/>
    <hyperlink ref="G31" r:id="rId22" xr:uid="{02D74A2A-D0E5-4099-8DFC-C55008182925}"/>
    <hyperlink ref="G32" r:id="rId23" xr:uid="{9D72F58B-DFD9-4D11-90F8-A51CEF57C3DA}"/>
    <hyperlink ref="G33" r:id="rId24" xr:uid="{960556E7-04EF-4C73-92B9-913DB7EEE040}"/>
    <hyperlink ref="G35" r:id="rId25" xr:uid="{9DAA0DA6-0CD7-4A97-9621-8CF64134BD9C}"/>
    <hyperlink ref="G34" r:id="rId26" xr:uid="{5E236324-D4A5-4457-9099-73492CAA1580}"/>
    <hyperlink ref="G13" r:id="rId27" xr:uid="{875BEE01-E7A0-416C-B6ED-141E603F6DB8}"/>
    <hyperlink ref="G19" r:id="rId28" xr:uid="{133AE747-2BCA-4AD8-A0C1-369BFAC3CEB9}"/>
    <hyperlink ref="G22" r:id="rId29" xr:uid="{084C9315-F91C-4059-9CF9-E112F05E10ED}"/>
    <hyperlink ref="G23" r:id="rId30" xr:uid="{AC26346D-59FB-4CBB-8903-3CBE1ECD3A2A}"/>
    <hyperlink ref="G24" r:id="rId31" xr:uid="{3011654A-D5DC-4C1D-B0C9-F93C48A28A42}"/>
    <hyperlink ref="G25" r:id="rId32" xr:uid="{54A05976-006A-4A01-BDDE-A8356DB45808}"/>
    <hyperlink ref="G26" r:id="rId33" xr:uid="{5F416296-158E-4969-AF2D-12318BBDD2CA}"/>
    <hyperlink ref="G41" r:id="rId34" xr:uid="{544E6248-58D5-4B05-9D69-FF2C2F10A7A1}"/>
  </hyperlinks>
  <pageMargins left="0.7" right="0.7" top="0.75" bottom="0.75" header="0.3" footer="0.3"/>
  <pageSetup paperSize="9" orientation="portrait" r:id="rId3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52"/>
  <sheetViews>
    <sheetView workbookViewId="0">
      <pane ySplit="3" topLeftCell="A12" activePane="bottomLeft" state="frozen"/>
      <selection pane="bottomLeft" activeCell="C29" sqref="C29"/>
    </sheetView>
  </sheetViews>
  <sheetFormatPr defaultRowHeight="15" x14ac:dyDescent="0.25"/>
  <cols>
    <col min="2" max="2" width="15" customWidth="1"/>
    <col min="3" max="3" width="18.85546875" customWidth="1"/>
    <col min="4" max="4" width="24.7109375" customWidth="1"/>
    <col min="5" max="5" width="9" customWidth="1"/>
    <col min="6" max="6" width="12.140625" customWidth="1"/>
  </cols>
  <sheetData>
    <row r="1" spans="1:9" x14ac:dyDescent="0.25">
      <c r="A1" s="6" t="s">
        <v>30</v>
      </c>
      <c r="B1" t="s">
        <v>13</v>
      </c>
      <c r="C1" s="4">
        <v>8.9999999999999993E-3</v>
      </c>
      <c r="D1" s="7" t="s">
        <v>17</v>
      </c>
      <c r="E1" s="5" t="s">
        <v>31</v>
      </c>
      <c r="F1" s="5" t="s">
        <v>32</v>
      </c>
    </row>
    <row r="2" spans="1:9" x14ac:dyDescent="0.25">
      <c r="C2" s="5"/>
      <c r="D2" s="5"/>
      <c r="E2" s="9">
        <v>2000</v>
      </c>
      <c r="F2" s="9">
        <v>3000</v>
      </c>
    </row>
    <row r="3" spans="1:9" x14ac:dyDescent="0.25">
      <c r="A3" t="s">
        <v>7</v>
      </c>
      <c r="B3" t="s">
        <v>8</v>
      </c>
      <c r="C3" t="s">
        <v>21</v>
      </c>
      <c r="D3" t="s">
        <v>15</v>
      </c>
      <c r="G3" t="s">
        <v>10</v>
      </c>
      <c r="H3" t="s">
        <v>12</v>
      </c>
    </row>
    <row r="5" spans="1:9" x14ac:dyDescent="0.25">
      <c r="A5" s="1">
        <v>42736</v>
      </c>
      <c r="B5">
        <v>4800</v>
      </c>
      <c r="C5" s="8">
        <f>B5-(B5*$C$1)</f>
        <v>4756.8</v>
      </c>
      <c r="D5" t="s">
        <v>20</v>
      </c>
      <c r="G5" s="8">
        <f>C5+(E5*$E$2)+(F5*$F$2)</f>
        <v>4756.8</v>
      </c>
    </row>
    <row r="6" spans="1:9" x14ac:dyDescent="0.25">
      <c r="A6" s="1">
        <v>42767</v>
      </c>
      <c r="B6" s="8">
        <f>IF(H5=0,G5,H5)</f>
        <v>4756.8</v>
      </c>
      <c r="C6" s="8">
        <f t="shared" ref="C6:C52" si="0">B6-(B6*$C$1)</f>
        <v>4713.9888000000001</v>
      </c>
      <c r="D6" t="s">
        <v>20</v>
      </c>
      <c r="G6" s="8">
        <f t="shared" ref="G6:G28" si="1">C6+(E6*$E$2)+(F6*$F$2)</f>
        <v>4713.9888000000001</v>
      </c>
    </row>
    <row r="7" spans="1:9" x14ac:dyDescent="0.25">
      <c r="A7" s="1">
        <v>42795</v>
      </c>
      <c r="B7" s="8">
        <f t="shared" ref="B7:B52" si="2">IF(H6=0,G6,H6)</f>
        <v>4713.9888000000001</v>
      </c>
      <c r="C7" s="8">
        <f t="shared" si="0"/>
        <v>4671.5629008000005</v>
      </c>
      <c r="D7" t="s">
        <v>20</v>
      </c>
      <c r="G7" s="8">
        <f t="shared" si="1"/>
        <v>4671.5629008000005</v>
      </c>
    </row>
    <row r="8" spans="1:9" x14ac:dyDescent="0.25">
      <c r="A8" s="1">
        <v>42826</v>
      </c>
      <c r="B8" s="8">
        <f t="shared" si="2"/>
        <v>4671.5629008000005</v>
      </c>
      <c r="C8" s="8">
        <f t="shared" si="0"/>
        <v>4629.5188346928007</v>
      </c>
      <c r="D8" t="s">
        <v>20</v>
      </c>
      <c r="G8" s="8">
        <f t="shared" si="1"/>
        <v>4629.5188346928007</v>
      </c>
    </row>
    <row r="9" spans="1:9" x14ac:dyDescent="0.25">
      <c r="A9" s="1">
        <v>42856</v>
      </c>
      <c r="B9" s="8">
        <f t="shared" si="2"/>
        <v>4629.5188346928007</v>
      </c>
      <c r="C9" s="8">
        <f t="shared" si="0"/>
        <v>4587.8531651805652</v>
      </c>
      <c r="D9" t="s">
        <v>20</v>
      </c>
      <c r="G9" s="8">
        <f t="shared" si="1"/>
        <v>4587.8531651805652</v>
      </c>
    </row>
    <row r="10" spans="1:9" x14ac:dyDescent="0.25">
      <c r="A10" s="1">
        <v>42887</v>
      </c>
      <c r="B10" s="8">
        <f t="shared" si="2"/>
        <v>4587.8531651805652</v>
      </c>
      <c r="C10" s="8">
        <f t="shared" si="0"/>
        <v>4546.5624866939397</v>
      </c>
      <c r="D10" t="s">
        <v>33</v>
      </c>
      <c r="G10" s="8">
        <f t="shared" si="1"/>
        <v>4546.5624866939397</v>
      </c>
    </row>
    <row r="11" spans="1:9" x14ac:dyDescent="0.25">
      <c r="A11" s="1">
        <v>42917</v>
      </c>
      <c r="B11" s="8">
        <f t="shared" si="2"/>
        <v>4546.5624866939397</v>
      </c>
      <c r="C11" s="8">
        <f t="shared" si="0"/>
        <v>4505.6434243136946</v>
      </c>
      <c r="D11" t="s">
        <v>20</v>
      </c>
      <c r="G11" s="8">
        <f t="shared" si="1"/>
        <v>4505.6434243136946</v>
      </c>
    </row>
    <row r="12" spans="1:9" x14ac:dyDescent="0.25">
      <c r="A12" s="1">
        <v>42948</v>
      </c>
      <c r="B12" s="8">
        <f t="shared" si="2"/>
        <v>4505.6434243136946</v>
      </c>
      <c r="C12" s="8">
        <f t="shared" si="0"/>
        <v>4465.0926334948717</v>
      </c>
      <c r="D12" t="s">
        <v>20</v>
      </c>
      <c r="G12" s="8">
        <f t="shared" si="1"/>
        <v>4465.0926334948717</v>
      </c>
    </row>
    <row r="13" spans="1:9" x14ac:dyDescent="0.25">
      <c r="A13" s="1">
        <v>42979</v>
      </c>
      <c r="B13" s="8">
        <f t="shared" si="2"/>
        <v>4465.0926334948717</v>
      </c>
      <c r="C13" s="8">
        <f t="shared" si="0"/>
        <v>4424.906799793418</v>
      </c>
      <c r="D13" t="s">
        <v>20</v>
      </c>
      <c r="G13" s="8">
        <f t="shared" si="1"/>
        <v>4424.906799793418</v>
      </c>
    </row>
    <row r="14" spans="1:9" x14ac:dyDescent="0.25">
      <c r="A14" s="1">
        <v>43009</v>
      </c>
      <c r="B14" s="8">
        <f t="shared" si="2"/>
        <v>4424.906799793418</v>
      </c>
      <c r="C14" s="8">
        <f t="shared" si="0"/>
        <v>4385.0826385952769</v>
      </c>
      <c r="D14" t="s">
        <v>34</v>
      </c>
      <c r="G14" s="8">
        <f t="shared" si="1"/>
        <v>4385.0826385952769</v>
      </c>
    </row>
    <row r="15" spans="1:9" x14ac:dyDescent="0.25">
      <c r="A15" s="1">
        <v>43040</v>
      </c>
      <c r="B15" s="8">
        <f t="shared" si="2"/>
        <v>4385.0826385952769</v>
      </c>
      <c r="C15" s="8">
        <f t="shared" si="0"/>
        <v>4345.616894847919</v>
      </c>
      <c r="D15" t="s">
        <v>20</v>
      </c>
      <c r="G15" s="8">
        <f t="shared" si="1"/>
        <v>4345.616894847919</v>
      </c>
    </row>
    <row r="16" spans="1:9" x14ac:dyDescent="0.25">
      <c r="A16" s="1">
        <v>43070</v>
      </c>
      <c r="B16" s="8">
        <f t="shared" si="2"/>
        <v>4345.616894847919</v>
      </c>
      <c r="C16" s="8">
        <f t="shared" si="0"/>
        <v>4306.5063427942878</v>
      </c>
      <c r="D16" t="s">
        <v>20</v>
      </c>
      <c r="G16" s="8">
        <f t="shared" si="1"/>
        <v>4306.5063427942878</v>
      </c>
      <c r="I16">
        <f>SUM(G5:G16)/12</f>
        <v>4528.261243433898</v>
      </c>
    </row>
    <row r="17" spans="1:7" x14ac:dyDescent="0.25">
      <c r="A17" s="1">
        <v>43101</v>
      </c>
      <c r="B17" s="8">
        <f t="shared" si="2"/>
        <v>4306.5063427942878</v>
      </c>
      <c r="C17" s="8">
        <f t="shared" si="0"/>
        <v>4267.747785709139</v>
      </c>
      <c r="D17" t="s">
        <v>20</v>
      </c>
      <c r="G17" s="8">
        <f t="shared" si="1"/>
        <v>4267.747785709139</v>
      </c>
    </row>
    <row r="18" spans="1:7" x14ac:dyDescent="0.25">
      <c r="A18" s="1">
        <v>43132</v>
      </c>
      <c r="B18" s="8">
        <f t="shared" si="2"/>
        <v>4267.747785709139</v>
      </c>
      <c r="C18" s="8">
        <f t="shared" si="0"/>
        <v>4229.338055637757</v>
      </c>
      <c r="D18" t="s">
        <v>20</v>
      </c>
      <c r="G18" s="8">
        <f t="shared" si="1"/>
        <v>4229.338055637757</v>
      </c>
    </row>
    <row r="19" spans="1:7" x14ac:dyDescent="0.25">
      <c r="A19" s="1">
        <v>43160</v>
      </c>
      <c r="B19" s="8">
        <f t="shared" si="2"/>
        <v>4229.338055637757</v>
      </c>
      <c r="C19" s="8">
        <f t="shared" si="0"/>
        <v>4191.2740131370174</v>
      </c>
      <c r="D19" t="s">
        <v>20</v>
      </c>
      <c r="G19" s="8">
        <f t="shared" si="1"/>
        <v>4191.2740131370174</v>
      </c>
    </row>
    <row r="20" spans="1:7" x14ac:dyDescent="0.25">
      <c r="A20" s="1">
        <v>43191</v>
      </c>
      <c r="B20" s="8">
        <f t="shared" si="2"/>
        <v>4191.2740131370174</v>
      </c>
      <c r="C20" s="8">
        <f t="shared" si="0"/>
        <v>4153.552547018784</v>
      </c>
      <c r="D20" t="s">
        <v>20</v>
      </c>
      <c r="G20" s="8">
        <f t="shared" si="1"/>
        <v>4153.552547018784</v>
      </c>
    </row>
    <row r="21" spans="1:7" x14ac:dyDescent="0.25">
      <c r="A21" s="1">
        <v>43221</v>
      </c>
      <c r="B21" s="8">
        <f t="shared" si="2"/>
        <v>4153.552547018784</v>
      </c>
      <c r="C21" s="8">
        <f t="shared" si="0"/>
        <v>4116.1705740956149</v>
      </c>
      <c r="D21" t="s">
        <v>20</v>
      </c>
      <c r="G21" s="8">
        <f t="shared" si="1"/>
        <v>4116.1705740956149</v>
      </c>
    </row>
    <row r="22" spans="1:7" x14ac:dyDescent="0.25">
      <c r="A22" s="1">
        <v>43252</v>
      </c>
      <c r="B22" s="8">
        <f t="shared" si="2"/>
        <v>4116.1705740956149</v>
      </c>
      <c r="C22" s="8">
        <f t="shared" si="0"/>
        <v>4079.1250389287543</v>
      </c>
      <c r="D22" t="s">
        <v>20</v>
      </c>
      <c r="G22" s="8">
        <f t="shared" si="1"/>
        <v>4079.1250389287543</v>
      </c>
    </row>
    <row r="23" spans="1:7" x14ac:dyDescent="0.25">
      <c r="A23" s="1">
        <v>43282</v>
      </c>
      <c r="B23" s="8">
        <f t="shared" si="2"/>
        <v>4079.1250389287543</v>
      </c>
      <c r="C23" s="8">
        <f t="shared" si="0"/>
        <v>4042.4129135783955</v>
      </c>
      <c r="D23" t="s">
        <v>20</v>
      </c>
      <c r="G23" s="8">
        <f t="shared" si="1"/>
        <v>4042.4129135783955</v>
      </c>
    </row>
    <row r="24" spans="1:7" x14ac:dyDescent="0.25">
      <c r="A24" s="1">
        <v>43313</v>
      </c>
      <c r="B24" s="8">
        <f t="shared" si="2"/>
        <v>4042.4129135783955</v>
      </c>
      <c r="C24" s="8">
        <f t="shared" si="0"/>
        <v>4006.0311973561902</v>
      </c>
      <c r="D24" t="s">
        <v>20</v>
      </c>
      <c r="G24" s="8">
        <f t="shared" si="1"/>
        <v>4006.0311973561902</v>
      </c>
    </row>
    <row r="25" spans="1:7" x14ac:dyDescent="0.25">
      <c r="A25" s="1">
        <v>43344</v>
      </c>
      <c r="B25" s="8">
        <f t="shared" si="2"/>
        <v>4006.0311973561902</v>
      </c>
      <c r="C25" s="8">
        <f t="shared" si="0"/>
        <v>3969.9769165799844</v>
      </c>
      <c r="D25" t="s">
        <v>20</v>
      </c>
      <c r="G25" s="8">
        <f t="shared" si="1"/>
        <v>3969.9769165799844</v>
      </c>
    </row>
    <row r="26" spans="1:7" x14ac:dyDescent="0.25">
      <c r="A26" s="1">
        <v>43374</v>
      </c>
      <c r="B26" s="8">
        <f t="shared" si="2"/>
        <v>3969.9769165799844</v>
      </c>
      <c r="C26" s="8">
        <f t="shared" si="0"/>
        <v>3934.2471243307646</v>
      </c>
      <c r="D26" t="s">
        <v>20</v>
      </c>
      <c r="G26" s="8">
        <f t="shared" si="1"/>
        <v>3934.2471243307646</v>
      </c>
    </row>
    <row r="27" spans="1:7" x14ac:dyDescent="0.25">
      <c r="A27" s="1">
        <v>43405</v>
      </c>
      <c r="B27" s="8">
        <f t="shared" si="2"/>
        <v>3934.2471243307646</v>
      </c>
      <c r="C27" s="8">
        <f t="shared" si="0"/>
        <v>3898.8389002117879</v>
      </c>
      <c r="D27" t="s">
        <v>20</v>
      </c>
      <c r="G27" s="8">
        <f t="shared" si="1"/>
        <v>3898.8389002117879</v>
      </c>
    </row>
    <row r="28" spans="1:7" x14ac:dyDescent="0.25">
      <c r="A28" s="1">
        <v>43435</v>
      </c>
      <c r="B28" s="8">
        <f t="shared" si="2"/>
        <v>3898.8389002117879</v>
      </c>
      <c r="C28" s="8">
        <f t="shared" si="0"/>
        <v>3863.7493501098816</v>
      </c>
      <c r="D28" t="s">
        <v>20</v>
      </c>
      <c r="G28" s="8">
        <f t="shared" si="1"/>
        <v>3863.7493501098816</v>
      </c>
    </row>
    <row r="29" spans="1:7" x14ac:dyDescent="0.25">
      <c r="A29" s="1">
        <v>43466</v>
      </c>
      <c r="B29" s="8">
        <v>0</v>
      </c>
      <c r="C29" s="8">
        <f t="shared" si="0"/>
        <v>0</v>
      </c>
      <c r="D29" t="s">
        <v>20</v>
      </c>
      <c r="G29" s="8"/>
    </row>
    <row r="30" spans="1:7" x14ac:dyDescent="0.25">
      <c r="A30" s="1">
        <v>43497</v>
      </c>
      <c r="B30" s="8">
        <f t="shared" si="2"/>
        <v>0</v>
      </c>
      <c r="C30" s="8">
        <f t="shared" si="0"/>
        <v>0</v>
      </c>
      <c r="D30" t="s">
        <v>20</v>
      </c>
      <c r="G30" s="8"/>
    </row>
    <row r="31" spans="1:7" x14ac:dyDescent="0.25">
      <c r="A31" s="1">
        <v>43525</v>
      </c>
      <c r="B31" s="8">
        <f t="shared" si="2"/>
        <v>0</v>
      </c>
      <c r="C31" s="8">
        <f t="shared" si="0"/>
        <v>0</v>
      </c>
      <c r="D31" t="s">
        <v>20</v>
      </c>
      <c r="G31" s="8"/>
    </row>
    <row r="32" spans="1:7" x14ac:dyDescent="0.25">
      <c r="A32" s="1">
        <v>43556</v>
      </c>
      <c r="B32" s="8">
        <f t="shared" si="2"/>
        <v>0</v>
      </c>
      <c r="C32" s="8">
        <f t="shared" si="0"/>
        <v>0</v>
      </c>
      <c r="D32" t="s">
        <v>20</v>
      </c>
      <c r="G32" s="8"/>
    </row>
    <row r="33" spans="1:7" x14ac:dyDescent="0.25">
      <c r="A33" s="1">
        <v>43586</v>
      </c>
      <c r="B33" s="8">
        <f t="shared" si="2"/>
        <v>0</v>
      </c>
      <c r="C33" s="8">
        <f t="shared" si="0"/>
        <v>0</v>
      </c>
      <c r="D33" t="s">
        <v>20</v>
      </c>
      <c r="G33" s="8"/>
    </row>
    <row r="34" spans="1:7" x14ac:dyDescent="0.25">
      <c r="A34" s="1">
        <v>43617</v>
      </c>
      <c r="B34" s="8">
        <f t="shared" si="2"/>
        <v>0</v>
      </c>
      <c r="C34" s="8">
        <f t="shared" si="0"/>
        <v>0</v>
      </c>
      <c r="D34" t="s">
        <v>20</v>
      </c>
      <c r="G34" s="8"/>
    </row>
    <row r="35" spans="1:7" x14ac:dyDescent="0.25">
      <c r="A35" s="1">
        <v>43647</v>
      </c>
      <c r="B35" s="8">
        <f t="shared" si="2"/>
        <v>0</v>
      </c>
      <c r="C35" s="8">
        <f t="shared" si="0"/>
        <v>0</v>
      </c>
      <c r="D35" t="s">
        <v>20</v>
      </c>
      <c r="G35" s="8"/>
    </row>
    <row r="36" spans="1:7" x14ac:dyDescent="0.25">
      <c r="A36" s="1">
        <v>43678</v>
      </c>
      <c r="B36" s="8">
        <f t="shared" si="2"/>
        <v>0</v>
      </c>
      <c r="C36" s="8">
        <f t="shared" si="0"/>
        <v>0</v>
      </c>
      <c r="D36" t="s">
        <v>20</v>
      </c>
      <c r="G36" s="8"/>
    </row>
    <row r="37" spans="1:7" x14ac:dyDescent="0.25">
      <c r="A37" s="1">
        <v>43709</v>
      </c>
      <c r="B37" s="8">
        <f t="shared" si="2"/>
        <v>0</v>
      </c>
      <c r="C37" s="8">
        <f t="shared" si="0"/>
        <v>0</v>
      </c>
      <c r="D37" t="s">
        <v>20</v>
      </c>
      <c r="G37" s="8"/>
    </row>
    <row r="38" spans="1:7" x14ac:dyDescent="0.25">
      <c r="A38" s="1">
        <v>43739</v>
      </c>
      <c r="B38" s="8">
        <f t="shared" si="2"/>
        <v>0</v>
      </c>
      <c r="C38" s="8">
        <f t="shared" si="0"/>
        <v>0</v>
      </c>
      <c r="D38" t="s">
        <v>20</v>
      </c>
      <c r="G38" s="8"/>
    </row>
    <row r="39" spans="1:7" x14ac:dyDescent="0.25">
      <c r="A39" s="1">
        <v>43770</v>
      </c>
      <c r="B39" s="8">
        <f t="shared" si="2"/>
        <v>0</v>
      </c>
      <c r="C39" s="8">
        <f t="shared" si="0"/>
        <v>0</v>
      </c>
      <c r="D39" t="s">
        <v>20</v>
      </c>
      <c r="G39" s="8"/>
    </row>
    <row r="40" spans="1:7" x14ac:dyDescent="0.25">
      <c r="A40" s="1">
        <v>43800</v>
      </c>
      <c r="B40" s="8">
        <f t="shared" si="2"/>
        <v>0</v>
      </c>
      <c r="C40" s="8">
        <f t="shared" si="0"/>
        <v>0</v>
      </c>
      <c r="D40" t="s">
        <v>20</v>
      </c>
      <c r="G40" s="8"/>
    </row>
    <row r="41" spans="1:7" x14ac:dyDescent="0.25">
      <c r="A41" s="1">
        <v>43831</v>
      </c>
      <c r="B41" s="8">
        <f t="shared" si="2"/>
        <v>0</v>
      </c>
      <c r="C41" s="8">
        <f t="shared" si="0"/>
        <v>0</v>
      </c>
      <c r="D41" t="s">
        <v>20</v>
      </c>
      <c r="G41" s="8"/>
    </row>
    <row r="42" spans="1:7" x14ac:dyDescent="0.25">
      <c r="A42" s="1">
        <v>43862</v>
      </c>
      <c r="B42" s="8">
        <f t="shared" si="2"/>
        <v>0</v>
      </c>
      <c r="C42" s="8">
        <f t="shared" si="0"/>
        <v>0</v>
      </c>
      <c r="D42" t="s">
        <v>20</v>
      </c>
      <c r="G42" s="8"/>
    </row>
    <row r="43" spans="1:7" x14ac:dyDescent="0.25">
      <c r="A43" s="1">
        <v>43891</v>
      </c>
      <c r="B43" s="8">
        <f t="shared" si="2"/>
        <v>0</v>
      </c>
      <c r="C43" s="8">
        <f t="shared" si="0"/>
        <v>0</v>
      </c>
      <c r="D43" t="s">
        <v>20</v>
      </c>
      <c r="G43" s="8"/>
    </row>
    <row r="44" spans="1:7" x14ac:dyDescent="0.25">
      <c r="A44" s="1">
        <v>43922</v>
      </c>
      <c r="B44" s="8">
        <f t="shared" si="2"/>
        <v>0</v>
      </c>
      <c r="C44" s="8">
        <f t="shared" si="0"/>
        <v>0</v>
      </c>
      <c r="D44" t="s">
        <v>20</v>
      </c>
      <c r="G44" s="8"/>
    </row>
    <row r="45" spans="1:7" x14ac:dyDescent="0.25">
      <c r="A45" s="1">
        <v>43952</v>
      </c>
      <c r="B45" s="8">
        <f t="shared" si="2"/>
        <v>0</v>
      </c>
      <c r="C45" s="8">
        <f t="shared" si="0"/>
        <v>0</v>
      </c>
      <c r="D45" t="s">
        <v>20</v>
      </c>
      <c r="G45" s="8"/>
    </row>
    <row r="46" spans="1:7" x14ac:dyDescent="0.25">
      <c r="A46" s="1">
        <v>43983</v>
      </c>
      <c r="B46" s="8">
        <f t="shared" si="2"/>
        <v>0</v>
      </c>
      <c r="C46" s="8">
        <f t="shared" si="0"/>
        <v>0</v>
      </c>
      <c r="D46" t="s">
        <v>20</v>
      </c>
      <c r="G46" s="8"/>
    </row>
    <row r="47" spans="1:7" x14ac:dyDescent="0.25">
      <c r="A47" s="1">
        <v>44013</v>
      </c>
      <c r="B47" s="8">
        <f t="shared" si="2"/>
        <v>0</v>
      </c>
      <c r="C47" s="8">
        <f t="shared" si="0"/>
        <v>0</v>
      </c>
      <c r="D47" t="s">
        <v>20</v>
      </c>
      <c r="G47" s="8"/>
    </row>
    <row r="48" spans="1:7" x14ac:dyDescent="0.25">
      <c r="A48" s="1">
        <v>44044</v>
      </c>
      <c r="B48" s="8">
        <f t="shared" si="2"/>
        <v>0</v>
      </c>
      <c r="C48" s="8">
        <f t="shared" si="0"/>
        <v>0</v>
      </c>
      <c r="D48" t="s">
        <v>20</v>
      </c>
      <c r="G48" s="8"/>
    </row>
    <row r="49" spans="1:7" x14ac:dyDescent="0.25">
      <c r="A49" s="1">
        <v>44075</v>
      </c>
      <c r="B49" s="8">
        <f t="shared" si="2"/>
        <v>0</v>
      </c>
      <c r="C49" s="8">
        <f t="shared" si="0"/>
        <v>0</v>
      </c>
      <c r="D49" t="s">
        <v>20</v>
      </c>
      <c r="G49" s="8"/>
    </row>
    <row r="50" spans="1:7" x14ac:dyDescent="0.25">
      <c r="A50" s="1">
        <v>44105</v>
      </c>
      <c r="B50" s="8">
        <f t="shared" si="2"/>
        <v>0</v>
      </c>
      <c r="C50" s="8">
        <f t="shared" si="0"/>
        <v>0</v>
      </c>
      <c r="D50" t="s">
        <v>20</v>
      </c>
      <c r="G50" s="8"/>
    </row>
    <row r="51" spans="1:7" x14ac:dyDescent="0.25">
      <c r="A51" s="1">
        <v>44136</v>
      </c>
      <c r="B51" s="8">
        <f t="shared" si="2"/>
        <v>0</v>
      </c>
      <c r="C51" s="8">
        <f t="shared" si="0"/>
        <v>0</v>
      </c>
      <c r="D51" t="s">
        <v>20</v>
      </c>
      <c r="G51" s="8"/>
    </row>
    <row r="52" spans="1:7" x14ac:dyDescent="0.25">
      <c r="A52" s="1">
        <v>44166</v>
      </c>
      <c r="B52" s="8">
        <f t="shared" si="2"/>
        <v>0</v>
      </c>
      <c r="C52" s="8">
        <f t="shared" si="0"/>
        <v>0</v>
      </c>
      <c r="D52" t="s">
        <v>20</v>
      </c>
      <c r="G52" s="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5BC92500DE08449F3AF4EE461105E9" ma:contentTypeVersion="5" ma:contentTypeDescription="Create a new document." ma:contentTypeScope="" ma:versionID="bd1f28861eb1d33c297e79951cfdeda3">
  <xsd:schema xmlns:xsd="http://www.w3.org/2001/XMLSchema" xmlns:xs="http://www.w3.org/2001/XMLSchema" xmlns:p="http://schemas.microsoft.com/office/2006/metadata/properties" xmlns:ns3="3f5de6e9-a5df-42d6-872b-3a71a2af42a7" xmlns:ns4="5f750071-f572-4dee-b413-f9450de8a1cf" targetNamespace="http://schemas.microsoft.com/office/2006/metadata/properties" ma:root="true" ma:fieldsID="289bdea7ee537735b77216e0cde62d42" ns3:_="" ns4:_="">
    <xsd:import namespace="3f5de6e9-a5df-42d6-872b-3a71a2af42a7"/>
    <xsd:import namespace="5f750071-f572-4dee-b413-f9450de8a1c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5de6e9-a5df-42d6-872b-3a71a2af42a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750071-f572-4dee-b413-f9450de8a1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51FF0C4-65D0-4226-A961-9F729E3094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081CBE-4326-49FA-8EB5-919F301E25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5de6e9-a5df-42d6-872b-3a71a2af42a7"/>
    <ds:schemaRef ds:uri="5f750071-f572-4dee-b413-f9450de8a1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DE9447-F6EA-474C-9D30-DB2EE9FA160D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3f5de6e9-a5df-42d6-872b-3a71a2af42a7"/>
    <ds:schemaRef ds:uri="http://purl.org/dc/elements/1.1/"/>
    <ds:schemaRef ds:uri="http://schemas.microsoft.com/office/2006/metadata/properties"/>
    <ds:schemaRef ds:uri="5f750071-f572-4dee-b413-f9450de8a1c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Estimat</vt:lpstr>
      <vt:lpstr>Oljepris</vt:lpstr>
      <vt:lpstr>Kurdistan</vt:lpstr>
      <vt:lpstr>Norge-UK</vt:lpstr>
      <vt:lpstr>Grafer NorgeUK</vt:lpstr>
      <vt:lpstr>Kurstrend</vt:lpstr>
      <vt:lpstr>Produksjonstrend</vt:lpstr>
      <vt:lpstr>Lisenser Norge-UK</vt:lpstr>
      <vt:lpstr>Oman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Odd-Tore Ovretveit</dc:creator>
  <cp:lastModifiedBy>Odd-Tore Ovretveit</cp:lastModifiedBy>
  <dcterms:created xsi:type="dcterms:W3CDTF">2017-03-28T17:42:36Z</dcterms:created>
  <dcterms:modified xsi:type="dcterms:W3CDTF">2021-04-28T12:24:15Z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09949ad2-d041-43eb-8c16-01e57974b365</vt:lpwstr>
  </property>
  <property fmtid="{D5CDD505-2E9C-101B-9397-08002B2CF9AE}" pid="3" name="ContentTypeId">
    <vt:lpwstr>0x010100955BC92500DE08449F3AF4EE461105E9</vt:lpwstr>
  </property>
</Properties>
</file>