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ata\privat\DNO\"/>
    </mc:Choice>
  </mc:AlternateContent>
  <bookViews>
    <workbookView xWindow="0" yWindow="0" windowWidth="24000" windowHeight="9720"/>
  </bookViews>
  <sheets>
    <sheet name="Estimat" sheetId="1" r:id="rId1"/>
    <sheet name="Oljepris" sheetId="2" r:id="rId2"/>
    <sheet name="Kurdistan" sheetId="3" r:id="rId3"/>
    <sheet name="Oman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3" i="1" l="1"/>
  <c r="N14" i="1"/>
  <c r="N16" i="1"/>
  <c r="N17" i="1"/>
  <c r="N19" i="1"/>
  <c r="N20" i="1"/>
  <c r="N22" i="1"/>
  <c r="N23" i="1"/>
  <c r="N25" i="1"/>
  <c r="N26" i="1"/>
  <c r="N28" i="1"/>
  <c r="N29" i="1"/>
  <c r="N31" i="1"/>
  <c r="N32" i="1"/>
  <c r="N34" i="1"/>
  <c r="N35" i="1"/>
  <c r="N37" i="1"/>
  <c r="N38" i="1"/>
  <c r="N40" i="1"/>
  <c r="N41" i="1"/>
  <c r="N43" i="1"/>
  <c r="N44" i="1"/>
  <c r="N46" i="1"/>
  <c r="N47" i="1"/>
  <c r="N49" i="1"/>
  <c r="N50" i="1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12" i="3"/>
  <c r="H10" i="3" l="1"/>
  <c r="H11" i="3"/>
  <c r="H9" i="3"/>
  <c r="L7" i="2" l="1"/>
  <c r="L6" i="2"/>
  <c r="L5" i="2"/>
  <c r="B51" i="2"/>
  <c r="B41" i="2"/>
  <c r="B42" i="2"/>
  <c r="B43" i="2"/>
  <c r="B44" i="2"/>
  <c r="B45" i="2"/>
  <c r="B46" i="2"/>
  <c r="B47" i="2"/>
  <c r="B48" i="2"/>
  <c r="B49" i="2"/>
  <c r="B50" i="2"/>
  <c r="B40" i="2"/>
  <c r="B30" i="2"/>
  <c r="B31" i="2"/>
  <c r="B32" i="2"/>
  <c r="B33" i="2"/>
  <c r="B34" i="2"/>
  <c r="B35" i="2"/>
  <c r="B36" i="2"/>
  <c r="B37" i="2"/>
  <c r="B38" i="2"/>
  <c r="B39" i="2"/>
  <c r="B29" i="2"/>
  <c r="B28" i="2"/>
  <c r="B27" i="2"/>
  <c r="B26" i="2"/>
  <c r="B25" i="2"/>
  <c r="B24" i="2"/>
  <c r="B23" i="2"/>
  <c r="B22" i="2"/>
  <c r="B21" i="2"/>
  <c r="B20" i="2"/>
  <c r="B19" i="2"/>
  <c r="B16" i="2"/>
  <c r="B18" i="2"/>
  <c r="B17" i="2"/>
  <c r="B15" i="2"/>
  <c r="B14" i="2"/>
  <c r="B13" i="2"/>
  <c r="B12" i="2"/>
  <c r="L4" i="2" l="1"/>
  <c r="J6" i="1"/>
  <c r="D5" i="1"/>
  <c r="J5" i="1" s="1"/>
  <c r="D6" i="1"/>
  <c r="D7" i="1"/>
  <c r="J7" i="1" s="1"/>
  <c r="D8" i="1"/>
  <c r="J8" i="1" s="1"/>
  <c r="D10" i="1"/>
  <c r="D11" i="1"/>
  <c r="D14" i="1"/>
  <c r="J14" i="1" s="1"/>
  <c r="D15" i="1"/>
  <c r="J15" i="1" s="1"/>
  <c r="D18" i="1"/>
  <c r="J18" i="1" s="1"/>
  <c r="D19" i="1"/>
  <c r="J19" i="1" s="1"/>
  <c r="D22" i="1"/>
  <c r="J22" i="1" s="1"/>
  <c r="D23" i="1"/>
  <c r="J23" i="1" s="1"/>
  <c r="D26" i="1"/>
  <c r="J26" i="1" s="1"/>
  <c r="D27" i="1"/>
  <c r="J27" i="1" s="1"/>
  <c r="D30" i="1"/>
  <c r="J30" i="1" s="1"/>
  <c r="D31" i="1"/>
  <c r="J31" i="1" s="1"/>
  <c r="D34" i="1"/>
  <c r="J34" i="1" s="1"/>
  <c r="D35" i="1"/>
  <c r="J35" i="1" s="1"/>
  <c r="D38" i="1"/>
  <c r="J38" i="1" s="1"/>
  <c r="D39" i="1"/>
  <c r="J39" i="1" s="1"/>
  <c r="D42" i="1"/>
  <c r="J42" i="1" s="1"/>
  <c r="D43" i="1"/>
  <c r="J43" i="1" s="1"/>
  <c r="D46" i="1"/>
  <c r="J46" i="1" s="1"/>
  <c r="D47" i="1"/>
  <c r="J47" i="1" s="1"/>
  <c r="D50" i="1"/>
  <c r="J50" i="1" s="1"/>
  <c r="D51" i="1"/>
  <c r="J51" i="1" s="1"/>
  <c r="D4" i="1"/>
  <c r="C5" i="4"/>
  <c r="G5" i="4" s="1"/>
  <c r="B6" i="4" s="1"/>
  <c r="C6" i="4" s="1"/>
  <c r="G6" i="4" s="1"/>
  <c r="B7" i="4" s="1"/>
  <c r="C7" i="4" s="1"/>
  <c r="G7" i="4" s="1"/>
  <c r="B8" i="4" s="1"/>
  <c r="C8" i="4" s="1"/>
  <c r="G8" i="4" s="1"/>
  <c r="B9" i="4" s="1"/>
  <c r="C9" i="4" s="1"/>
  <c r="G9" i="4" s="1"/>
  <c r="B10" i="4" s="1"/>
  <c r="C10" i="4" s="1"/>
  <c r="G10" i="4" s="1"/>
  <c r="B11" i="4" s="1"/>
  <c r="C11" i="4" s="1"/>
  <c r="G11" i="4" s="1"/>
  <c r="B12" i="4" s="1"/>
  <c r="C12" i="4" s="1"/>
  <c r="G12" i="4" s="1"/>
  <c r="B13" i="4" s="1"/>
  <c r="C13" i="4" s="1"/>
  <c r="G13" i="4" s="1"/>
  <c r="B14" i="4" s="1"/>
  <c r="C14" i="4" s="1"/>
  <c r="G14" i="4" s="1"/>
  <c r="B15" i="4" s="1"/>
  <c r="C15" i="4" s="1"/>
  <c r="G15" i="4" s="1"/>
  <c r="B16" i="4" s="1"/>
  <c r="C16" i="4" s="1"/>
  <c r="G16" i="4" s="1"/>
  <c r="B17" i="4" s="1"/>
  <c r="C17" i="4" s="1"/>
  <c r="G17" i="4" s="1"/>
  <c r="B18" i="4" s="1"/>
  <c r="C18" i="4" s="1"/>
  <c r="G18" i="4" s="1"/>
  <c r="B19" i="4" s="1"/>
  <c r="C19" i="4" s="1"/>
  <c r="G19" i="4" s="1"/>
  <c r="B20" i="4" s="1"/>
  <c r="C20" i="4" s="1"/>
  <c r="G20" i="4" s="1"/>
  <c r="B21" i="4" s="1"/>
  <c r="C21" i="4" s="1"/>
  <c r="G21" i="4" s="1"/>
  <c r="B22" i="4" s="1"/>
  <c r="C22" i="4" s="1"/>
  <c r="G22" i="4" s="1"/>
  <c r="B23" i="4" s="1"/>
  <c r="C23" i="4" s="1"/>
  <c r="G23" i="4" s="1"/>
  <c r="B24" i="4" s="1"/>
  <c r="C24" i="4" s="1"/>
  <c r="G24" i="4" s="1"/>
  <c r="B25" i="4" s="1"/>
  <c r="C25" i="4" s="1"/>
  <c r="G25" i="4" s="1"/>
  <c r="B26" i="4" s="1"/>
  <c r="C26" i="4" s="1"/>
  <c r="G26" i="4" s="1"/>
  <c r="B27" i="4" s="1"/>
  <c r="C27" i="4" s="1"/>
  <c r="G27" i="4" s="1"/>
  <c r="B28" i="4" s="1"/>
  <c r="C28" i="4" s="1"/>
  <c r="G28" i="4" s="1"/>
  <c r="B29" i="4" s="1"/>
  <c r="C29" i="4" s="1"/>
  <c r="G29" i="4" s="1"/>
  <c r="B30" i="4" s="1"/>
  <c r="C30" i="4" s="1"/>
  <c r="G30" i="4" s="1"/>
  <c r="B31" i="4" s="1"/>
  <c r="C31" i="4" s="1"/>
  <c r="G31" i="4" s="1"/>
  <c r="B32" i="4" s="1"/>
  <c r="C32" i="4" s="1"/>
  <c r="G32" i="4" s="1"/>
  <c r="B33" i="4" s="1"/>
  <c r="C33" i="4" s="1"/>
  <c r="G33" i="4" s="1"/>
  <c r="B34" i="4" s="1"/>
  <c r="C34" i="4" s="1"/>
  <c r="G34" i="4" s="1"/>
  <c r="B35" i="4" s="1"/>
  <c r="C35" i="4" s="1"/>
  <c r="G35" i="4" s="1"/>
  <c r="B36" i="4" s="1"/>
  <c r="C36" i="4" s="1"/>
  <c r="G36" i="4" s="1"/>
  <c r="B37" i="4" s="1"/>
  <c r="C37" i="4" s="1"/>
  <c r="G37" i="4" s="1"/>
  <c r="B38" i="4" s="1"/>
  <c r="C38" i="4" s="1"/>
  <c r="G38" i="4" s="1"/>
  <c r="B39" i="4" s="1"/>
  <c r="C39" i="4" s="1"/>
  <c r="G39" i="4" s="1"/>
  <c r="B40" i="4" s="1"/>
  <c r="C40" i="4" s="1"/>
  <c r="G40" i="4" s="1"/>
  <c r="B41" i="4" s="1"/>
  <c r="C41" i="4" s="1"/>
  <c r="G41" i="4" s="1"/>
  <c r="B42" i="4" s="1"/>
  <c r="C42" i="4" s="1"/>
  <c r="G42" i="4" s="1"/>
  <c r="B43" i="4" s="1"/>
  <c r="C43" i="4" s="1"/>
  <c r="G43" i="4" s="1"/>
  <c r="B44" i="4" s="1"/>
  <c r="C44" i="4" s="1"/>
  <c r="G44" i="4" s="1"/>
  <c r="B45" i="4" s="1"/>
  <c r="C45" i="4" s="1"/>
  <c r="G45" i="4" s="1"/>
  <c r="B46" i="4" s="1"/>
  <c r="C46" i="4" s="1"/>
  <c r="G46" i="4" s="1"/>
  <c r="B47" i="4" s="1"/>
  <c r="C47" i="4" s="1"/>
  <c r="G47" i="4" s="1"/>
  <c r="B48" i="4" s="1"/>
  <c r="C48" i="4" s="1"/>
  <c r="G48" i="4" s="1"/>
  <c r="B49" i="4" s="1"/>
  <c r="C49" i="4" s="1"/>
  <c r="G49" i="4" s="1"/>
  <c r="B50" i="4" s="1"/>
  <c r="C50" i="4" s="1"/>
  <c r="G50" i="4" s="1"/>
  <c r="B51" i="4" s="1"/>
  <c r="C51" i="4" s="1"/>
  <c r="G51" i="4" s="1"/>
  <c r="B52" i="4" s="1"/>
  <c r="C52" i="4" s="1"/>
  <c r="G52" i="4" s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C5" i="1"/>
  <c r="C6" i="1"/>
  <c r="C4" i="1"/>
  <c r="F15" i="1"/>
  <c r="F5" i="1"/>
  <c r="F6" i="1"/>
  <c r="F7" i="1"/>
  <c r="F8" i="1"/>
  <c r="F9" i="1"/>
  <c r="F10" i="1"/>
  <c r="J10" i="1" s="1"/>
  <c r="F11" i="1"/>
  <c r="F12" i="1"/>
  <c r="F13" i="1"/>
  <c r="F14" i="1"/>
  <c r="F4" i="1"/>
  <c r="O6" i="3"/>
  <c r="O5" i="3"/>
  <c r="Q6" i="3"/>
  <c r="Q7" i="3"/>
  <c r="Q5" i="3"/>
  <c r="J6" i="3"/>
  <c r="B7" i="3"/>
  <c r="B8" i="3"/>
  <c r="B6" i="3"/>
  <c r="G5" i="3"/>
  <c r="K5" i="3"/>
  <c r="K6" i="3" s="1"/>
  <c r="J7" i="3" s="1"/>
  <c r="C5" i="3"/>
  <c r="C6" i="3"/>
  <c r="C7" i="3" s="1"/>
  <c r="C8" i="3" s="1"/>
  <c r="D49" i="1" l="1"/>
  <c r="J49" i="1" s="1"/>
  <c r="D45" i="1"/>
  <c r="J45" i="1" s="1"/>
  <c r="D41" i="1"/>
  <c r="J41" i="1" s="1"/>
  <c r="D37" i="1"/>
  <c r="J37" i="1" s="1"/>
  <c r="D33" i="1"/>
  <c r="J33" i="1" s="1"/>
  <c r="D29" i="1"/>
  <c r="J29" i="1" s="1"/>
  <c r="D25" i="1"/>
  <c r="J25" i="1" s="1"/>
  <c r="D21" i="1"/>
  <c r="J21" i="1" s="1"/>
  <c r="D17" i="1"/>
  <c r="J17" i="1" s="1"/>
  <c r="D13" i="1"/>
  <c r="J13" i="1" s="1"/>
  <c r="D9" i="1"/>
  <c r="J11" i="1"/>
  <c r="D48" i="1"/>
  <c r="J48" i="1" s="1"/>
  <c r="D44" i="1"/>
  <c r="J44" i="1" s="1"/>
  <c r="D40" i="1"/>
  <c r="J40" i="1" s="1"/>
  <c r="D36" i="1"/>
  <c r="J36" i="1" s="1"/>
  <c r="D32" i="1"/>
  <c r="J32" i="1" s="1"/>
  <c r="D28" i="1"/>
  <c r="J28" i="1" s="1"/>
  <c r="D24" i="1"/>
  <c r="J24" i="1" s="1"/>
  <c r="D20" i="1"/>
  <c r="J20" i="1" s="1"/>
  <c r="D16" i="1"/>
  <c r="J16" i="1" s="1"/>
  <c r="D12" i="1"/>
  <c r="J12" i="1" s="1"/>
  <c r="H4" i="1"/>
  <c r="J9" i="1"/>
  <c r="J4" i="1"/>
  <c r="K7" i="3"/>
  <c r="G6" i="3"/>
  <c r="G8" i="3"/>
  <c r="G7" i="3"/>
  <c r="E5" i="1"/>
  <c r="E6" i="1"/>
  <c r="E7" i="1"/>
  <c r="E8" i="1"/>
  <c r="E9" i="1"/>
  <c r="E10" i="1"/>
  <c r="E11" i="1"/>
  <c r="E12" i="1"/>
  <c r="E13" i="1"/>
  <c r="E14" i="1"/>
  <c r="E15" i="1"/>
  <c r="E4" i="1"/>
  <c r="I5" i="1" l="1"/>
  <c r="K5" i="1" s="1"/>
  <c r="H5" i="1"/>
  <c r="M9" i="1" s="1"/>
  <c r="H6" i="1"/>
  <c r="I6" i="1" s="1"/>
  <c r="K6" i="1" s="1"/>
  <c r="I4" i="1"/>
  <c r="K4" i="1"/>
  <c r="J8" i="3"/>
  <c r="K8" i="3" s="1"/>
  <c r="O7" i="3"/>
  <c r="B9" i="3"/>
  <c r="C9" i="3" s="1"/>
  <c r="G9" i="3" s="1"/>
  <c r="L9" i="1" l="1"/>
  <c r="N9" i="1" s="1"/>
  <c r="Q8" i="3"/>
  <c r="C7" i="1" s="1"/>
  <c r="O8" i="3"/>
  <c r="J9" i="3" s="1"/>
  <c r="K9" i="3" s="1"/>
  <c r="B10" i="3"/>
  <c r="C10" i="3" s="1"/>
  <c r="G10" i="3" s="1"/>
  <c r="H7" i="1" l="1"/>
  <c r="Q9" i="3"/>
  <c r="C8" i="1" s="1"/>
  <c r="O9" i="3"/>
  <c r="J10" i="3" s="1"/>
  <c r="K10" i="3" s="1"/>
  <c r="B11" i="3"/>
  <c r="C11" i="3" s="1"/>
  <c r="G11" i="3" s="1"/>
  <c r="I7" i="1" l="1"/>
  <c r="H8" i="1"/>
  <c r="I8" i="1" s="1"/>
  <c r="K8" i="1" s="1"/>
  <c r="Q10" i="3"/>
  <c r="C9" i="1" s="1"/>
  <c r="O10" i="3"/>
  <c r="J11" i="3" s="1"/>
  <c r="K11" i="3" s="1"/>
  <c r="B12" i="3"/>
  <c r="C12" i="3" s="1"/>
  <c r="G12" i="3" s="1"/>
  <c r="K7" i="1" l="1"/>
  <c r="H9" i="1"/>
  <c r="I9" i="1" s="1"/>
  <c r="L12" i="1" s="1"/>
  <c r="N12" i="1" s="1"/>
  <c r="Q11" i="3"/>
  <c r="C10" i="1" s="1"/>
  <c r="H10" i="1" s="1"/>
  <c r="O11" i="3"/>
  <c r="J12" i="3" s="1"/>
  <c r="K12" i="3" s="1"/>
  <c r="B13" i="3"/>
  <c r="C13" i="3" s="1"/>
  <c r="G13" i="3" s="1"/>
  <c r="K9" i="1" l="1"/>
  <c r="M12" i="1"/>
  <c r="I10" i="1"/>
  <c r="Q12" i="3"/>
  <c r="C11" i="1" s="1"/>
  <c r="O12" i="3"/>
  <c r="J13" i="3" s="1"/>
  <c r="K13" i="3" s="1"/>
  <c r="B14" i="3"/>
  <c r="C14" i="3" s="1"/>
  <c r="G14" i="3" s="1"/>
  <c r="H11" i="1" l="1"/>
  <c r="I11" i="1"/>
  <c r="K11" i="1" s="1"/>
  <c r="K10" i="1"/>
  <c r="Q13" i="3"/>
  <c r="C12" i="1" s="1"/>
  <c r="O13" i="3"/>
  <c r="J14" i="3" s="1"/>
  <c r="K14" i="3" s="1"/>
  <c r="B15" i="3"/>
  <c r="C15" i="3" s="1"/>
  <c r="G15" i="3" s="1"/>
  <c r="H12" i="1" l="1"/>
  <c r="I12" i="1"/>
  <c r="Q14" i="3"/>
  <c r="C13" i="1" s="1"/>
  <c r="O14" i="3"/>
  <c r="J15" i="3" s="1"/>
  <c r="K15" i="3" s="1"/>
  <c r="B16" i="3"/>
  <c r="C16" i="3" s="1"/>
  <c r="G16" i="3" s="1"/>
  <c r="H13" i="1" l="1"/>
  <c r="I13" i="1"/>
  <c r="M15" i="1"/>
  <c r="Q15" i="3"/>
  <c r="C14" i="1" s="1"/>
  <c r="O15" i="3"/>
  <c r="J16" i="3" s="1"/>
  <c r="K16" i="3" s="1"/>
  <c r="O16" i="3" s="1"/>
  <c r="J17" i="3"/>
  <c r="K17" i="3" s="1"/>
  <c r="Q16" i="3"/>
  <c r="C15" i="1" s="1"/>
  <c r="B17" i="3"/>
  <c r="C17" i="3" s="1"/>
  <c r="G17" i="3" s="1"/>
  <c r="H14" i="1" l="1"/>
  <c r="I14" i="1"/>
  <c r="K14" i="1" s="1"/>
  <c r="H15" i="1"/>
  <c r="M18" i="1" s="1"/>
  <c r="L15" i="1"/>
  <c r="N15" i="1" s="1"/>
  <c r="K12" i="1"/>
  <c r="K13" i="1"/>
  <c r="Q17" i="3"/>
  <c r="C16" i="1" s="1"/>
  <c r="O17" i="3"/>
  <c r="J18" i="3" s="1"/>
  <c r="K18" i="3" s="1"/>
  <c r="B18" i="3"/>
  <c r="C18" i="3" s="1"/>
  <c r="G18" i="3" s="1"/>
  <c r="H16" i="1" l="1"/>
  <c r="I16" i="1"/>
  <c r="I15" i="1"/>
  <c r="K15" i="1" s="1"/>
  <c r="Q18" i="3"/>
  <c r="C17" i="1" s="1"/>
  <c r="O18" i="3"/>
  <c r="J19" i="3" s="1"/>
  <c r="K19" i="3" s="1"/>
  <c r="B19" i="3"/>
  <c r="C19" i="3" s="1"/>
  <c r="G19" i="3" s="1"/>
  <c r="L18" i="1" l="1"/>
  <c r="N18" i="1" s="1"/>
  <c r="H17" i="1"/>
  <c r="I17" i="1"/>
  <c r="K16" i="1"/>
  <c r="Q19" i="3"/>
  <c r="C18" i="1" s="1"/>
  <c r="O19" i="3"/>
  <c r="J20" i="3" s="1"/>
  <c r="K20" i="3" s="1"/>
  <c r="B20" i="3"/>
  <c r="C20" i="3" s="1"/>
  <c r="G20" i="3" s="1"/>
  <c r="H18" i="1" l="1"/>
  <c r="I18" i="1"/>
  <c r="L21" i="1"/>
  <c r="K17" i="1"/>
  <c r="Q20" i="3"/>
  <c r="C19" i="1" s="1"/>
  <c r="O20" i="3"/>
  <c r="J21" i="3" s="1"/>
  <c r="K21" i="3" s="1"/>
  <c r="B21" i="3"/>
  <c r="C21" i="3" s="1"/>
  <c r="G21" i="3" s="1"/>
  <c r="H19" i="1" l="1"/>
  <c r="I19" i="1"/>
  <c r="K18" i="1"/>
  <c r="M21" i="1"/>
  <c r="N21" i="1" s="1"/>
  <c r="Q21" i="3"/>
  <c r="C20" i="1" s="1"/>
  <c r="O21" i="3"/>
  <c r="J22" i="3" s="1"/>
  <c r="K22" i="3" s="1"/>
  <c r="B22" i="3"/>
  <c r="C22" i="3" s="1"/>
  <c r="G22" i="3" s="1"/>
  <c r="H20" i="1" l="1"/>
  <c r="I20" i="1"/>
  <c r="K19" i="1"/>
  <c r="Q22" i="3"/>
  <c r="C21" i="1" s="1"/>
  <c r="O22" i="3"/>
  <c r="J23" i="3" s="1"/>
  <c r="K23" i="3" s="1"/>
  <c r="B23" i="3"/>
  <c r="C23" i="3" s="1"/>
  <c r="G23" i="3" s="1"/>
  <c r="H21" i="1" l="1"/>
  <c r="I21" i="1"/>
  <c r="O23" i="3"/>
  <c r="J24" i="3" s="1"/>
  <c r="K24" i="3" s="1"/>
  <c r="B24" i="3"/>
  <c r="C24" i="3" s="1"/>
  <c r="G24" i="3" s="1"/>
  <c r="K21" i="1" l="1"/>
  <c r="M24" i="1"/>
  <c r="L24" i="1"/>
  <c r="N24" i="1" s="1"/>
  <c r="K20" i="1"/>
  <c r="Q23" i="3"/>
  <c r="C22" i="1" s="1"/>
  <c r="O24" i="3"/>
  <c r="J25" i="3" s="1"/>
  <c r="K25" i="3" s="1"/>
  <c r="B25" i="3"/>
  <c r="C25" i="3" s="1"/>
  <c r="G25" i="3" s="1"/>
  <c r="H22" i="1" l="1"/>
  <c r="I22" i="1"/>
  <c r="O25" i="3"/>
  <c r="J26" i="3" s="1"/>
  <c r="K26" i="3" s="1"/>
  <c r="Q24" i="3"/>
  <c r="C23" i="1" s="1"/>
  <c r="B26" i="3"/>
  <c r="C26" i="3" s="1"/>
  <c r="G26" i="3" s="1"/>
  <c r="H23" i="1" l="1"/>
  <c r="I23" i="1"/>
  <c r="K22" i="1"/>
  <c r="O26" i="3"/>
  <c r="J27" i="3" s="1"/>
  <c r="K27" i="3" s="1"/>
  <c r="Q25" i="3"/>
  <c r="C24" i="1" s="1"/>
  <c r="B27" i="3"/>
  <c r="C27" i="3" s="1"/>
  <c r="G27" i="3" s="1"/>
  <c r="H24" i="1" l="1"/>
  <c r="I24" i="1"/>
  <c r="K23" i="1"/>
  <c r="L27" i="1"/>
  <c r="O27" i="3"/>
  <c r="J28" i="3" s="1"/>
  <c r="K28" i="3" s="1"/>
  <c r="Q26" i="3"/>
  <c r="C25" i="1" s="1"/>
  <c r="B28" i="3"/>
  <c r="C28" i="3" s="1"/>
  <c r="G28" i="3" s="1"/>
  <c r="B29" i="3" s="1"/>
  <c r="C29" i="3" s="1"/>
  <c r="G29" i="3" s="1"/>
  <c r="H25" i="1" l="1"/>
  <c r="I25" i="1"/>
  <c r="K24" i="1"/>
  <c r="M27" i="1"/>
  <c r="N27" i="1" s="1"/>
  <c r="B30" i="3"/>
  <c r="C30" i="3" s="1"/>
  <c r="G30" i="3" s="1"/>
  <c r="O28" i="3"/>
  <c r="Q27" i="3"/>
  <c r="C26" i="1" s="1"/>
  <c r="H26" i="1" l="1"/>
  <c r="I26" i="1"/>
  <c r="K25" i="1"/>
  <c r="Q28" i="3"/>
  <c r="C27" i="1" s="1"/>
  <c r="J29" i="3"/>
  <c r="K29" i="3" s="1"/>
  <c r="O29" i="3" s="1"/>
  <c r="B31" i="3"/>
  <c r="C31" i="3" s="1"/>
  <c r="G31" i="3" s="1"/>
  <c r="H27" i="1" l="1"/>
  <c r="I27" i="1"/>
  <c r="J30" i="3"/>
  <c r="K30" i="3" s="1"/>
  <c r="O30" i="3" s="1"/>
  <c r="Q29" i="3"/>
  <c r="C28" i="1" s="1"/>
  <c r="B32" i="3"/>
  <c r="C32" i="3" s="1"/>
  <c r="G32" i="3" s="1"/>
  <c r="H28" i="1" l="1"/>
  <c r="I28" i="1"/>
  <c r="M30" i="1"/>
  <c r="K27" i="1"/>
  <c r="L30" i="1"/>
  <c r="K26" i="1"/>
  <c r="J31" i="3"/>
  <c r="K31" i="3" s="1"/>
  <c r="O31" i="3" s="1"/>
  <c r="Q30" i="3"/>
  <c r="C29" i="1" s="1"/>
  <c r="B33" i="3"/>
  <c r="C33" i="3" s="1"/>
  <c r="G33" i="3" s="1"/>
  <c r="H29" i="1" l="1"/>
  <c r="I29" i="1"/>
  <c r="N30" i="1"/>
  <c r="K28" i="1"/>
  <c r="J32" i="3"/>
  <c r="K32" i="3" s="1"/>
  <c r="O32" i="3" s="1"/>
  <c r="Q31" i="3"/>
  <c r="C30" i="1" s="1"/>
  <c r="B34" i="3"/>
  <c r="C34" i="3" s="1"/>
  <c r="G34" i="3" s="1"/>
  <c r="H30" i="1" l="1"/>
  <c r="I30" i="1"/>
  <c r="K29" i="1"/>
  <c r="J33" i="3"/>
  <c r="K33" i="3" s="1"/>
  <c r="O33" i="3" s="1"/>
  <c r="Q32" i="3"/>
  <c r="C31" i="1" s="1"/>
  <c r="B35" i="3"/>
  <c r="C35" i="3" s="1"/>
  <c r="G35" i="3" s="1"/>
  <c r="H31" i="1" l="1"/>
  <c r="I31" i="1"/>
  <c r="L33" i="1"/>
  <c r="N33" i="1" s="1"/>
  <c r="M33" i="1"/>
  <c r="J34" i="3"/>
  <c r="K34" i="3" s="1"/>
  <c r="O34" i="3" s="1"/>
  <c r="Q33" i="3"/>
  <c r="C32" i="1" s="1"/>
  <c r="B36" i="3"/>
  <c r="C36" i="3" s="1"/>
  <c r="G36" i="3" s="1"/>
  <c r="H32" i="1" l="1"/>
  <c r="I32" i="1"/>
  <c r="K30" i="1"/>
  <c r="K31" i="1"/>
  <c r="J35" i="3"/>
  <c r="K35" i="3" s="1"/>
  <c r="O35" i="3" s="1"/>
  <c r="Q34" i="3"/>
  <c r="C33" i="1" s="1"/>
  <c r="B37" i="3"/>
  <c r="C37" i="3" s="1"/>
  <c r="G37" i="3" s="1"/>
  <c r="H33" i="1" l="1"/>
  <c r="I33" i="1"/>
  <c r="K32" i="1"/>
  <c r="M36" i="1"/>
  <c r="J36" i="3"/>
  <c r="K36" i="3" s="1"/>
  <c r="O36" i="3" s="1"/>
  <c r="Q35" i="3"/>
  <c r="C34" i="1" s="1"/>
  <c r="B38" i="3"/>
  <c r="C38" i="3" s="1"/>
  <c r="G38" i="3" s="1"/>
  <c r="H34" i="1" l="1"/>
  <c r="I34" i="1"/>
  <c r="L36" i="1"/>
  <c r="N36" i="1" s="1"/>
  <c r="J37" i="3"/>
  <c r="K37" i="3" s="1"/>
  <c r="O37" i="3" s="1"/>
  <c r="Q36" i="3"/>
  <c r="C35" i="1" s="1"/>
  <c r="B39" i="3"/>
  <c r="C39" i="3" s="1"/>
  <c r="G39" i="3" s="1"/>
  <c r="H35" i="1" l="1"/>
  <c r="I35" i="1"/>
  <c r="K33" i="1"/>
  <c r="J38" i="3"/>
  <c r="K38" i="3" s="1"/>
  <c r="O38" i="3" s="1"/>
  <c r="Q37" i="3"/>
  <c r="C36" i="1" s="1"/>
  <c r="B40" i="3"/>
  <c r="C40" i="3" s="1"/>
  <c r="G40" i="3" s="1"/>
  <c r="H36" i="1" l="1"/>
  <c r="I36" i="1"/>
  <c r="K35" i="1"/>
  <c r="K34" i="1"/>
  <c r="J39" i="3"/>
  <c r="K39" i="3" s="1"/>
  <c r="O39" i="3" s="1"/>
  <c r="Q38" i="3"/>
  <c r="C37" i="1" s="1"/>
  <c r="B41" i="3"/>
  <c r="C41" i="3" s="1"/>
  <c r="G41" i="3" s="1"/>
  <c r="H37" i="1" l="1"/>
  <c r="I37" i="1"/>
  <c r="M39" i="1"/>
  <c r="L39" i="1"/>
  <c r="N39" i="1" s="1"/>
  <c r="J40" i="3"/>
  <c r="K40" i="3" s="1"/>
  <c r="O40" i="3" s="1"/>
  <c r="Q39" i="3"/>
  <c r="C38" i="1" s="1"/>
  <c r="B42" i="3"/>
  <c r="C42" i="3" s="1"/>
  <c r="G42" i="3" s="1"/>
  <c r="H38" i="1" l="1"/>
  <c r="I38" i="1"/>
  <c r="K36" i="1"/>
  <c r="K38" i="1"/>
  <c r="J41" i="3"/>
  <c r="K41" i="3" s="1"/>
  <c r="O41" i="3" s="1"/>
  <c r="Q40" i="3"/>
  <c r="C39" i="1" s="1"/>
  <c r="B43" i="3"/>
  <c r="C43" i="3" s="1"/>
  <c r="G43" i="3" s="1"/>
  <c r="H39" i="1" l="1"/>
  <c r="I39" i="1"/>
  <c r="K37" i="1"/>
  <c r="J42" i="3"/>
  <c r="K42" i="3" s="1"/>
  <c r="O42" i="3" s="1"/>
  <c r="Q41" i="3"/>
  <c r="C40" i="1" s="1"/>
  <c r="B44" i="3"/>
  <c r="C44" i="3" s="1"/>
  <c r="G44" i="3" s="1"/>
  <c r="H40" i="1" l="1"/>
  <c r="I40" i="1"/>
  <c r="L42" i="1"/>
  <c r="M42" i="1"/>
  <c r="J43" i="3"/>
  <c r="K43" i="3" s="1"/>
  <c r="O43" i="3" s="1"/>
  <c r="Q42" i="3"/>
  <c r="C41" i="1" s="1"/>
  <c r="B45" i="3"/>
  <c r="C45" i="3" s="1"/>
  <c r="G45" i="3" s="1"/>
  <c r="N42" i="1" l="1"/>
  <c r="H41" i="1"/>
  <c r="I41" i="1"/>
  <c r="K39" i="1"/>
  <c r="K40" i="1"/>
  <c r="J44" i="3"/>
  <c r="K44" i="3" s="1"/>
  <c r="O44" i="3" s="1"/>
  <c r="Q43" i="3"/>
  <c r="C42" i="1" s="1"/>
  <c r="B46" i="3"/>
  <c r="C46" i="3" s="1"/>
  <c r="G46" i="3" s="1"/>
  <c r="H42" i="1" l="1"/>
  <c r="I42" i="1"/>
  <c r="L45" i="1"/>
  <c r="K41" i="1"/>
  <c r="J45" i="3"/>
  <c r="K45" i="3" s="1"/>
  <c r="O45" i="3" s="1"/>
  <c r="Q44" i="3"/>
  <c r="C43" i="1" s="1"/>
  <c r="B47" i="3"/>
  <c r="C47" i="3" s="1"/>
  <c r="G47" i="3" s="1"/>
  <c r="H43" i="1" l="1"/>
  <c r="I43" i="1"/>
  <c r="K42" i="1"/>
  <c r="M45" i="1"/>
  <c r="N45" i="1" s="1"/>
  <c r="J46" i="3"/>
  <c r="K46" i="3" s="1"/>
  <c r="O46" i="3" s="1"/>
  <c r="Q45" i="3"/>
  <c r="C44" i="1" s="1"/>
  <c r="B48" i="3"/>
  <c r="C48" i="3" s="1"/>
  <c r="G48" i="3" s="1"/>
  <c r="H44" i="1" l="1"/>
  <c r="I44" i="1"/>
  <c r="K43" i="1"/>
  <c r="J47" i="3"/>
  <c r="K47" i="3" s="1"/>
  <c r="O47" i="3" s="1"/>
  <c r="Q46" i="3"/>
  <c r="C45" i="1" s="1"/>
  <c r="B49" i="3"/>
  <c r="C49" i="3" s="1"/>
  <c r="G49" i="3" s="1"/>
  <c r="H45" i="1" l="1"/>
  <c r="I45" i="1"/>
  <c r="L48" i="1"/>
  <c r="K44" i="1"/>
  <c r="J48" i="3"/>
  <c r="K48" i="3" s="1"/>
  <c r="O48" i="3" s="1"/>
  <c r="Q47" i="3"/>
  <c r="C46" i="1" s="1"/>
  <c r="B50" i="3"/>
  <c r="C50" i="3" s="1"/>
  <c r="G50" i="3" s="1"/>
  <c r="H46" i="1" l="1"/>
  <c r="I46" i="1"/>
  <c r="K45" i="1"/>
  <c r="M48" i="1"/>
  <c r="N48" i="1" s="1"/>
  <c r="J49" i="3"/>
  <c r="K49" i="3" s="1"/>
  <c r="O49" i="3" s="1"/>
  <c r="Q48" i="3"/>
  <c r="C47" i="1" s="1"/>
  <c r="B51" i="3"/>
  <c r="C51" i="3" s="1"/>
  <c r="G51" i="3" s="1"/>
  <c r="H47" i="1" l="1"/>
  <c r="I47" i="1"/>
  <c r="J50" i="3"/>
  <c r="K50" i="3" s="1"/>
  <c r="O50" i="3" s="1"/>
  <c r="Q49" i="3"/>
  <c r="C48" i="1" s="1"/>
  <c r="B52" i="3"/>
  <c r="C52" i="3" s="1"/>
  <c r="G52" i="3" s="1"/>
  <c r="H48" i="1" l="1"/>
  <c r="I48" i="1"/>
  <c r="L51" i="1" s="1"/>
  <c r="K47" i="1"/>
  <c r="K46" i="1"/>
  <c r="J51" i="3"/>
  <c r="K51" i="3" s="1"/>
  <c r="O51" i="3" s="1"/>
  <c r="Q50" i="3"/>
  <c r="C49" i="1" s="1"/>
  <c r="H49" i="1" l="1"/>
  <c r="I49" i="1"/>
  <c r="K48" i="1"/>
  <c r="M51" i="1"/>
  <c r="N51" i="1" s="1"/>
  <c r="J52" i="3"/>
  <c r="K52" i="3" s="1"/>
  <c r="O52" i="3" s="1"/>
  <c r="Q52" i="3" s="1"/>
  <c r="C51" i="1" s="1"/>
  <c r="Q51" i="3"/>
  <c r="C50" i="1" s="1"/>
  <c r="H50" i="1" l="1"/>
  <c r="I50" i="1"/>
  <c r="H51" i="1"/>
  <c r="I51" i="1"/>
  <c r="K49" i="1"/>
  <c r="K51" i="1" l="1"/>
  <c r="K50" i="1"/>
</calcChain>
</file>

<file path=xl/sharedStrings.xml><?xml version="1.0" encoding="utf-8"?>
<sst xmlns="http://schemas.openxmlformats.org/spreadsheetml/2006/main" count="162" uniqueCount="67">
  <si>
    <t>Produksjon Oman</t>
  </si>
  <si>
    <t>Oljepris Tawke</t>
  </si>
  <si>
    <t>Oljepris Oman</t>
  </si>
  <si>
    <t>DNO andel Tawke</t>
  </si>
  <si>
    <t>DNO andel Oman</t>
  </si>
  <si>
    <t>Samlet</t>
  </si>
  <si>
    <t>Oljepris</t>
  </si>
  <si>
    <t>Days in month</t>
  </si>
  <si>
    <t>Estimat DNO inntekter (USD)</t>
  </si>
  <si>
    <t>https://www.eia.gov/dnav/pet/hist/LeafHandler.ashx?n=PET&amp;s=RBRTE&amp;f=M</t>
  </si>
  <si>
    <t>Måned</t>
  </si>
  <si>
    <t>Forrige måned</t>
  </si>
  <si>
    <t>Decline</t>
  </si>
  <si>
    <t>Estimat</t>
  </si>
  <si>
    <t>Tawke</t>
  </si>
  <si>
    <t>Reell</t>
  </si>
  <si>
    <t>Decline faktor:</t>
  </si>
  <si>
    <t>Erbil</t>
  </si>
  <si>
    <t>Ny produksjon</t>
  </si>
  <si>
    <t>Cretaceous</t>
  </si>
  <si>
    <t>Jeribe</t>
  </si>
  <si>
    <t>Info</t>
  </si>
  <si>
    <t>Reservoir 1</t>
  </si>
  <si>
    <t>Reservoir 2</t>
  </si>
  <si>
    <t>Ingen</t>
  </si>
  <si>
    <t>Ny inc. decline</t>
  </si>
  <si>
    <t>Tawke 35</t>
  </si>
  <si>
    <t>Tawke 38, Tawke 39</t>
  </si>
  <si>
    <t>Tawke 42</t>
  </si>
  <si>
    <t>Tawke 41</t>
  </si>
  <si>
    <t>Tawke 44</t>
  </si>
  <si>
    <t>Sum</t>
  </si>
  <si>
    <t>Hawler 1A</t>
  </si>
  <si>
    <t>Tawke xx</t>
  </si>
  <si>
    <t>Hawler XX</t>
  </si>
  <si>
    <t>Tawke xx, Pesh 4</t>
  </si>
  <si>
    <t>Tawke xx, Pesh 5</t>
  </si>
  <si>
    <t>Tawke xx, Pesh 6</t>
  </si>
  <si>
    <t>Tawke xx, Pesh 7</t>
  </si>
  <si>
    <t>Tawke xx, Pesh 8</t>
  </si>
  <si>
    <t>Tawke xx, Pesh 9</t>
  </si>
  <si>
    <t>Tawke xx, Pesh 10</t>
  </si>
  <si>
    <t>Tawke xx, Pesh 11</t>
  </si>
  <si>
    <t>Tawke xx, Pesh 12</t>
  </si>
  <si>
    <t>Produksjon Kurdistan</t>
  </si>
  <si>
    <t>Oman</t>
  </si>
  <si>
    <t>Bukha</t>
  </si>
  <si>
    <t>West Bukha</t>
  </si>
  <si>
    <t>WB 5-B</t>
  </si>
  <si>
    <t>Bukha 1</t>
  </si>
  <si>
    <t>Estimat 2017</t>
  </si>
  <si>
    <t>Estimat 2018</t>
  </si>
  <si>
    <t>Estimat 2019</t>
  </si>
  <si>
    <t>Estimat 2020</t>
  </si>
  <si>
    <t>Gjeldsinntekter</t>
  </si>
  <si>
    <t>Gj. Snitt 2017:</t>
  </si>
  <si>
    <t>Gj. Snitt 2018:</t>
  </si>
  <si>
    <t>Gj. Snitt 2019:</t>
  </si>
  <si>
    <t>Gj. Snitt 2020:</t>
  </si>
  <si>
    <t>Reell betaling gjeld</t>
  </si>
  <si>
    <t>DNO Betaling gjeld</t>
  </si>
  <si>
    <t>Tawke 43, 45</t>
  </si>
  <si>
    <t>Tawke 46, Pesh 3</t>
  </si>
  <si>
    <t>Tawke 48, Tawke xx</t>
  </si>
  <si>
    <t>Kvartalsinntekter estimert</t>
  </si>
  <si>
    <t>Revenue per Q Estimert</t>
  </si>
  <si>
    <t>Revenue per Q rapportert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</si>
</sst>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0">
    <xf numFmtId="0" fontId="0" fillId="0" borderId="0" xfId="0"/>
    <xf numFmtId="17" fontId="0" fillId="0" borderId="0" xfId="0" applyNumberFormat="1"/>
    <xf numFmtId="3" fontId="0" fillId="0" borderId="0" xfId="0" applyNumberFormat="1"/>
    <xf numFmtId="0" fontId="1" fillId="0" borderId="0" xfId="1"/>
    <xf numFmtId="10" fontId="0" fillId="2" borderId="0" xfId="0" applyNumberFormat="1" applyFill="1"/>
    <xf numFmtId="10" fontId="0" fillId="0" borderId="0" xfId="0" applyNumberFormat="1" applyFill="1"/>
    <xf numFmtId="0" fontId="2" fillId="0" borderId="0" xfId="0" applyFont="1"/>
    <xf numFmtId="10" fontId="0" fillId="0" borderId="0" xfId="0" quotePrefix="1" applyNumberFormat="1" applyFill="1"/>
    <xf numFmtId="1" fontId="0" fillId="0" borderId="0" xfId="0" applyNumberFormat="1"/>
    <xf numFmtId="1" fontId="0" fillId="2" borderId="0" xfId="0" applyNumberFormat="1" applyFill="1"/>
    <xf numFmtId="0" fontId="0" fillId="3" borderId="0" xfId="0" applyFill="1"/>
    <xf numFmtId="1" fontId="0" fillId="3" borderId="0" xfId="0" applyNumberFormat="1" applyFill="1"/>
    <xf numFmtId="0" fontId="0" fillId="2" borderId="0" xfId="0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2" fillId="0" borderId="0" xfId="0" applyFont="1" applyAlignment="1">
      <alignment horizontal="center"/>
    </xf>
    <xf numFmtId="2" fontId="0" fillId="0" borderId="0" xfId="0" applyNumberFormat="1"/>
    <xf numFmtId="0" fontId="0" fillId="0" borderId="0" xfId="0" applyAlignment="1">
      <alignment wrapText="1"/>
    </xf>
    <xf numFmtId="3" fontId="0" fillId="2" borderId="0" xfId="0" applyNumberFormat="1" applyFill="1"/>
    <xf numFmtId="3" fontId="0" fillId="0" borderId="0" xfId="0" applyNumberFormat="1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ia.gov/dnav/pet/hist/LeafHandler.ashx?n=PET&amp;s=RBRTE&amp;f=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tabSelected="1" workbookViewId="0">
      <pane ySplit="3" topLeftCell="A6" activePane="bottomLeft" state="frozen"/>
      <selection pane="bottomLeft" activeCell="N15" sqref="N15"/>
    </sheetView>
  </sheetViews>
  <sheetFormatPr defaultRowHeight="15" x14ac:dyDescent="0.25"/>
  <cols>
    <col min="2" max="2" width="2.85546875" customWidth="1"/>
    <col min="3" max="3" width="10.85546875" customWidth="1"/>
    <col min="4" max="4" width="11" customWidth="1"/>
    <col min="5" max="6" width="8" customWidth="1"/>
    <col min="7" max="7" width="9.28515625" customWidth="1"/>
    <col min="8" max="8" width="9.5703125" customWidth="1"/>
    <col min="9" max="9" width="11.5703125" customWidth="1"/>
    <col min="10" max="10" width="10.42578125" customWidth="1"/>
    <col min="11" max="11" width="12.7109375" customWidth="1"/>
    <col min="12" max="12" width="17.42578125" customWidth="1"/>
    <col min="13" max="13" width="15.140625" customWidth="1"/>
    <col min="14" max="14" width="15" customWidth="1"/>
    <col min="15" max="15" width="16" customWidth="1"/>
  </cols>
  <sheetData>
    <row r="1" spans="1:15" x14ac:dyDescent="0.25">
      <c r="A1" t="s">
        <v>8</v>
      </c>
    </row>
    <row r="3" spans="1:15" ht="45" x14ac:dyDescent="0.25">
      <c r="C3" s="17" t="s">
        <v>44</v>
      </c>
      <c r="D3" s="17" t="s">
        <v>0</v>
      </c>
      <c r="E3" s="17" t="s">
        <v>1</v>
      </c>
      <c r="F3" s="17" t="s">
        <v>2</v>
      </c>
      <c r="G3" s="17" t="s">
        <v>59</v>
      </c>
      <c r="H3" s="17" t="s">
        <v>60</v>
      </c>
      <c r="I3" s="17" t="s">
        <v>3</v>
      </c>
      <c r="J3" s="17" t="s">
        <v>4</v>
      </c>
      <c r="K3" s="17" t="s">
        <v>5</v>
      </c>
      <c r="L3" s="17" t="s">
        <v>64</v>
      </c>
      <c r="M3" t="s">
        <v>54</v>
      </c>
      <c r="N3" s="17" t="s">
        <v>65</v>
      </c>
      <c r="O3" s="17" t="s">
        <v>66</v>
      </c>
    </row>
    <row r="4" spans="1:15" x14ac:dyDescent="0.25">
      <c r="A4" s="1">
        <v>42736</v>
      </c>
      <c r="C4" s="8">
        <f>Kurdistan!Q5</f>
        <v>112537</v>
      </c>
      <c r="D4" s="8">
        <f>Oman!G5</f>
        <v>4925.25</v>
      </c>
      <c r="E4">
        <f>Oljepris!B4-12</f>
        <v>42.58</v>
      </c>
      <c r="F4">
        <f>Oljepris!B4-5</f>
        <v>49.58</v>
      </c>
      <c r="H4" s="2">
        <f>C4*E4*Oljepris!D4*0.05*0.71</f>
        <v>5273403.9187299991</v>
      </c>
      <c r="I4" s="2">
        <f>C4*E4*Oljepris!D4*0.71*0.31-H4</f>
        <v>27421700.377395999</v>
      </c>
      <c r="J4" s="2">
        <f>D4*F4*Oljepris!D4*0.5*0.45</f>
        <v>1703252.417625</v>
      </c>
      <c r="K4" s="2">
        <f>I4+J4</f>
        <v>29124952.795020998</v>
      </c>
    </row>
    <row r="5" spans="1:15" x14ac:dyDescent="0.25">
      <c r="A5" s="1">
        <v>42767</v>
      </c>
      <c r="C5" s="8">
        <f>Kurdistan!Q6</f>
        <v>110641</v>
      </c>
      <c r="D5" s="8">
        <f>Oman!G6</f>
        <v>4900.6237499999997</v>
      </c>
      <c r="E5">
        <f>Oljepris!B5-12</f>
        <v>42.87</v>
      </c>
      <c r="F5">
        <f>Oljepris!B5-5</f>
        <v>49.87</v>
      </c>
      <c r="H5" s="2">
        <f>C5*E5*Oljepris!D5*0.05*0.71</f>
        <v>4714720.5919799991</v>
      </c>
      <c r="I5" s="2">
        <f>C5*E5*Oljepris!D5*0.71*0.31-H5</f>
        <v>24516547.078295995</v>
      </c>
      <c r="J5" s="2">
        <f>D5*F5*Oljepris!D5*0.5*0.45</f>
        <v>1539682.8703987498</v>
      </c>
      <c r="K5" s="2">
        <f t="shared" ref="K5:K51" si="0">I5+J5</f>
        <v>26056229.948694743</v>
      </c>
    </row>
    <row r="6" spans="1:15" x14ac:dyDescent="0.25">
      <c r="A6" s="1">
        <v>42795</v>
      </c>
      <c r="C6" s="8">
        <f>Kurdistan!Q7</f>
        <v>108513</v>
      </c>
      <c r="D6" s="8">
        <f>Oman!G7</f>
        <v>4876.1206312499999</v>
      </c>
      <c r="E6">
        <f>Oljepris!B6-12</f>
        <v>39.9</v>
      </c>
      <c r="F6">
        <f>Oljepris!B6-5</f>
        <v>46.9</v>
      </c>
      <c r="H6" s="2">
        <f>C6*E6*Oljepris!D6*0.05*0.71</f>
        <v>4764800.4043500004</v>
      </c>
      <c r="I6" s="2">
        <f>C6*E6*Oljepris!D6*0.71*0.31-H6</f>
        <v>24776962.102620002</v>
      </c>
      <c r="J6" s="2">
        <f>D6*F6*Oljepris!D6*0.5*0.45</f>
        <v>1595113.1517992343</v>
      </c>
      <c r="K6" s="2">
        <f t="shared" si="0"/>
        <v>26372075.254419237</v>
      </c>
      <c r="L6" s="2">
        <v>77100000</v>
      </c>
    </row>
    <row r="7" spans="1:15" x14ac:dyDescent="0.25">
      <c r="A7" s="1">
        <v>42826</v>
      </c>
      <c r="C7" s="8">
        <f>Kurdistan!Q8</f>
        <v>108519</v>
      </c>
      <c r="D7" s="8">
        <f>Oman!G8</f>
        <v>4851.74002809375</v>
      </c>
      <c r="E7">
        <f>Oljepris!B7-12</f>
        <v>40.31</v>
      </c>
      <c r="F7">
        <f>Oljepris!B7-5</f>
        <v>47.31</v>
      </c>
      <c r="H7" s="2">
        <f>C7*E7*Oljepris!D7*0.05*0.71</f>
        <v>4658736.9478500001</v>
      </c>
      <c r="I7" s="2">
        <f>C7*E7*Oljepris!D7*0.71*0.31-H7</f>
        <v>24225432.128820002</v>
      </c>
      <c r="J7" s="2">
        <f>D7*F7*Oljepris!D7*0.5*0.45</f>
        <v>1549366.7899215282</v>
      </c>
      <c r="K7" s="2">
        <f t="shared" si="0"/>
        <v>25774798.918741532</v>
      </c>
    </row>
    <row r="8" spans="1:15" x14ac:dyDescent="0.25">
      <c r="A8" s="1">
        <v>42856</v>
      </c>
      <c r="C8" s="8">
        <f>Kurdistan!Q9</f>
        <v>107554.93465069894</v>
      </c>
      <c r="D8" s="8">
        <f>Oman!G9</f>
        <v>4827.4813279532809</v>
      </c>
      <c r="E8">
        <f>Oljepris!B8-12</f>
        <v>38.33</v>
      </c>
      <c r="F8">
        <f>Oljepris!B8-5</f>
        <v>45.33</v>
      </c>
      <c r="G8" s="18">
        <v>6390000</v>
      </c>
      <c r="H8" s="2">
        <f>C8*E8*Oljepris!D8*0.05*0.71</f>
        <v>4536900</v>
      </c>
      <c r="I8" s="2">
        <f>C8*E8*Oljepris!D8*0.71*0.31-H8</f>
        <v>23591880</v>
      </c>
      <c r="J8" s="2">
        <f>D8*F8*Oljepris!D8*0.5*0.45</f>
        <v>1526337.3569579525</v>
      </c>
      <c r="K8" s="2">
        <f t="shared" si="0"/>
        <v>25118217.356957953</v>
      </c>
      <c r="O8" s="2"/>
    </row>
    <row r="9" spans="1:15" x14ac:dyDescent="0.25">
      <c r="A9" s="1">
        <v>42887</v>
      </c>
      <c r="C9" s="8">
        <f>Kurdistan!Q10</f>
        <v>108834.05569628776</v>
      </c>
      <c r="D9" s="8">
        <f>Oman!G10</f>
        <v>4803.3439213135143</v>
      </c>
      <c r="E9">
        <f>Oljepris!B9-12</f>
        <v>34.369999999999997</v>
      </c>
      <c r="F9">
        <f>Oljepris!B9-5</f>
        <v>41.37</v>
      </c>
      <c r="G9" s="18"/>
      <c r="H9" s="2">
        <f>C9*E9*Oljepris!D9*0.05*0.71</f>
        <v>3983767.2164097019</v>
      </c>
      <c r="I9" s="2">
        <f>C9*E9*Oljepris!D9*0.71*0.31-H9</f>
        <v>20715589.52533045</v>
      </c>
      <c r="J9" s="2">
        <f>D9*F9*Oljepris!D9*0.5*0.45</f>
        <v>1341321.7816669955</v>
      </c>
      <c r="K9" s="2">
        <f t="shared" si="0"/>
        <v>22056911.306997444</v>
      </c>
      <c r="L9" s="2">
        <f>SUM(I4:I6)+SUM(J7:J9)</f>
        <v>81132235.486858472</v>
      </c>
      <c r="M9" s="2">
        <f>SUM(H4:H6)</f>
        <v>14752924.915059999</v>
      </c>
      <c r="N9" s="19">
        <f>L9</f>
        <v>81132235.486858472</v>
      </c>
      <c r="O9" s="2">
        <v>81700000</v>
      </c>
    </row>
    <row r="10" spans="1:15" x14ac:dyDescent="0.25">
      <c r="A10" s="1">
        <v>42917</v>
      </c>
      <c r="C10" s="8">
        <f>Kurdistan!Q11</f>
        <v>112092.71080514716</v>
      </c>
      <c r="D10" s="8">
        <f>Oman!G11</f>
        <v>4779.3272017069467</v>
      </c>
      <c r="E10">
        <f>Oljepris!B10-12</f>
        <v>36.479999999999997</v>
      </c>
      <c r="F10">
        <f>Oljepris!B10-5</f>
        <v>43.48</v>
      </c>
      <c r="G10" s="18"/>
      <c r="H10" s="2">
        <f>C10*E10*Oljepris!D10*0.05*0.71</f>
        <v>4500100.8702340303</v>
      </c>
      <c r="I10" s="2">
        <f>C10*E10*Oljepris!D10*0.71*0.31-H10</f>
        <v>23400524.525216959</v>
      </c>
      <c r="J10" s="2">
        <f>D10*F10*Oljepris!D10*0.5*0.45</f>
        <v>1449440.8984432707</v>
      </c>
      <c r="K10" s="2">
        <f t="shared" si="0"/>
        <v>24849965.42366023</v>
      </c>
      <c r="N10" s="2"/>
      <c r="O10" s="2"/>
    </row>
    <row r="11" spans="1:15" x14ac:dyDescent="0.25">
      <c r="A11" s="1">
        <v>42948</v>
      </c>
      <c r="C11" s="8">
        <f>Kurdistan!Q12</f>
        <v>115299.2274322648</v>
      </c>
      <c r="D11" s="8">
        <f>Oman!G12</f>
        <v>4755.4305656984116</v>
      </c>
      <c r="E11">
        <f>Oljepris!B11-12</f>
        <v>39.65</v>
      </c>
      <c r="F11">
        <f>Oljepris!B11-5</f>
        <v>46.65</v>
      </c>
      <c r="G11" s="18"/>
      <c r="H11" s="2">
        <f>C11*E11*Oljepris!D11*0.03</f>
        <v>4251601.3619510476</v>
      </c>
      <c r="I11" s="2">
        <f>(C11*E11*Oljepris!D11*0.71*0.31-H11)*1.3666</f>
        <v>36817544.129272059</v>
      </c>
      <c r="J11" s="2">
        <f>D11*F11*Oljepris!D11*0.5*0.45</f>
        <v>1547339.8303315705</v>
      </c>
      <c r="K11" s="2">
        <f>H11+I11+J11</f>
        <v>42616485.321554676</v>
      </c>
      <c r="N11" s="2"/>
      <c r="O11" s="2"/>
    </row>
    <row r="12" spans="1:15" x14ac:dyDescent="0.25">
      <c r="A12" s="1">
        <v>42979</v>
      </c>
      <c r="C12" s="8">
        <f>Kurdistan!Q13</f>
        <v>113454.43979334856</v>
      </c>
      <c r="D12" s="8">
        <f>Oman!G13</f>
        <v>4731.6534128699195</v>
      </c>
      <c r="E12">
        <f>Oljepris!B12-12</f>
        <v>40</v>
      </c>
      <c r="F12">
        <f>Oljepris!B12-5</f>
        <v>47</v>
      </c>
      <c r="G12" s="18"/>
      <c r="H12" s="2">
        <f>C12*E12*Oljepris!D12*0.03</f>
        <v>4084359.8325605481</v>
      </c>
      <c r="I12" s="2">
        <f>(C12*E12*Oljepris!D12*0.71*0.31-H12)*1.3666</f>
        <v>35369284.552613147</v>
      </c>
      <c r="J12" s="2">
        <f>D12*F12*Oljepris!D12*0.5*0.45</f>
        <v>1501117.0452329819</v>
      </c>
      <c r="K12" s="2">
        <f t="shared" si="0"/>
        <v>36870401.597846128</v>
      </c>
      <c r="L12" s="2">
        <f>SUM(I7:I9)+SUM(J10:J12)</f>
        <v>73030799.428158283</v>
      </c>
      <c r="M12" s="2">
        <f>SUM(H7:H9)</f>
        <v>13179404.164259702</v>
      </c>
      <c r="N12" s="2">
        <f>L12</f>
        <v>73030799.428158283</v>
      </c>
      <c r="O12" s="2"/>
    </row>
    <row r="13" spans="1:15" x14ac:dyDescent="0.25">
      <c r="A13" s="1">
        <v>43009</v>
      </c>
      <c r="C13" s="8">
        <f>Kurdistan!Q14</f>
        <v>118139.16875665498</v>
      </c>
      <c r="D13" s="8">
        <f>Oman!G14</f>
        <v>6707.9951458055702</v>
      </c>
      <c r="E13">
        <f>Oljepris!B13-12</f>
        <v>40</v>
      </c>
      <c r="F13">
        <f>Oljepris!B13-5</f>
        <v>47</v>
      </c>
      <c r="G13" s="18"/>
      <c r="H13" s="2">
        <f>C13*E13*Oljepris!D13*0.03</f>
        <v>4394777.0777475648</v>
      </c>
      <c r="I13" s="2">
        <f>(C13*E13*Oljepris!D13*0.71*0.31-H13)*1.3666</f>
        <v>38057401.252697043</v>
      </c>
      <c r="J13" s="2">
        <f>D13*F13*Oljepris!D13*0.5*0.45</f>
        <v>2199048.5086737112</v>
      </c>
      <c r="K13" s="2">
        <f t="shared" si="0"/>
        <v>40256449.761370756</v>
      </c>
      <c r="N13" s="2">
        <f t="shared" ref="N13:N51" si="1">L13+M13</f>
        <v>0</v>
      </c>
      <c r="O13" s="2"/>
    </row>
    <row r="14" spans="1:15" x14ac:dyDescent="0.25">
      <c r="A14" s="1">
        <v>43040</v>
      </c>
      <c r="C14" s="8">
        <f>Kurdistan!Q15</f>
        <v>122748.94205654851</v>
      </c>
      <c r="D14" s="8">
        <f>Oman!G15</f>
        <v>6674.4551700765423</v>
      </c>
      <c r="E14">
        <f>Oljepris!B14-12</f>
        <v>40</v>
      </c>
      <c r="F14">
        <f>Oljepris!B14-5</f>
        <v>47</v>
      </c>
      <c r="G14" s="18"/>
      <c r="H14" s="2">
        <f>C14*E14*Oljepris!D14*0.03</f>
        <v>4418961.9140357459</v>
      </c>
      <c r="I14" s="2">
        <f>(C14*E14*Oljepris!D14*0.71*0.31-H14)*1.3666</f>
        <v>38266834.405406989</v>
      </c>
      <c r="J14" s="2">
        <f>D14*F14*Oljepris!D14*0.5*0.45</f>
        <v>2117470.9027067833</v>
      </c>
      <c r="K14" s="2">
        <f t="shared" si="0"/>
        <v>40384305.308113769</v>
      </c>
      <c r="N14" s="2">
        <f t="shared" si="1"/>
        <v>0</v>
      </c>
      <c r="O14" s="2"/>
    </row>
    <row r="15" spans="1:15" x14ac:dyDescent="0.25">
      <c r="A15" s="1">
        <v>43070</v>
      </c>
      <c r="C15" s="8">
        <f>Kurdistan!Q16</f>
        <v>125784.95898364372</v>
      </c>
      <c r="D15" s="8">
        <f>Oman!G16</f>
        <v>6641.0828942261596</v>
      </c>
      <c r="E15">
        <f>Oljepris!B15-12</f>
        <v>40</v>
      </c>
      <c r="F15">
        <f>Oljepris!B15-5</f>
        <v>47</v>
      </c>
      <c r="G15" s="18"/>
      <c r="H15" s="2">
        <f>C15*E15*Oljepris!D15*0.03</f>
        <v>4679200.4741915464</v>
      </c>
      <c r="I15" s="2">
        <f>(C15*E15*Oljepris!D15*0.71*0.31-H15)*1.3666</f>
        <v>40520419.315417834</v>
      </c>
      <c r="J15" s="2">
        <f>D15*F15*Oljepris!D15*0.5*0.45</f>
        <v>2177112.9997996907</v>
      </c>
      <c r="K15" s="2">
        <f t="shared" si="0"/>
        <v>42697532.315217525</v>
      </c>
      <c r="L15" s="2">
        <f>SUM(I10:I12)+SUM(J13:J15)</f>
        <v>102080985.61828235</v>
      </c>
      <c r="M15" s="2">
        <f>SUM(H10:H12)</f>
        <v>12836062.064745625</v>
      </c>
      <c r="N15" s="2">
        <f>L15+M15-H13</f>
        <v>110522270.6052804</v>
      </c>
      <c r="O15" s="2"/>
    </row>
    <row r="16" spans="1:15" x14ac:dyDescent="0.25">
      <c r="A16" s="1">
        <v>43101</v>
      </c>
      <c r="C16" s="8">
        <f>Kurdistan!Q17</f>
        <v>123772.39963990543</v>
      </c>
      <c r="D16" s="8">
        <f>Oman!G17</f>
        <v>6607.8774797550286</v>
      </c>
      <c r="E16">
        <f>Oljepris!B16-12</f>
        <v>43</v>
      </c>
      <c r="F16">
        <f>Oljepris!B16-5</f>
        <v>50</v>
      </c>
      <c r="G16" s="18"/>
      <c r="H16" s="2">
        <f>C16*E16*Oljepris!D16*0.03</f>
        <v>4949658.2615998182</v>
      </c>
      <c r="I16" s="2">
        <f>(C16*E16*Oljepris!D16*0.71*0.31-H16)*1.3666</f>
        <v>42862499.551848978</v>
      </c>
      <c r="J16" s="2">
        <f>D16*F16*Oljepris!D16*0.5*0.45</f>
        <v>2304497.2710645664</v>
      </c>
      <c r="K16" s="2">
        <f t="shared" si="0"/>
        <v>45166996.822913542</v>
      </c>
      <c r="N16" s="2">
        <f t="shared" si="1"/>
        <v>0</v>
      </c>
      <c r="O16" s="2"/>
    </row>
    <row r="17" spans="1:15" x14ac:dyDescent="0.25">
      <c r="A17" s="1">
        <v>43132</v>
      </c>
      <c r="C17" s="8">
        <f>Kurdistan!Q18</f>
        <v>131292.04124566694</v>
      </c>
      <c r="D17" s="8">
        <f>Oman!G18</f>
        <v>6574.8380923562536</v>
      </c>
      <c r="E17">
        <f>Oljepris!B17-12</f>
        <v>43</v>
      </c>
      <c r="F17">
        <f>Oljepris!B17-5</f>
        <v>50</v>
      </c>
      <c r="G17" s="18"/>
      <c r="H17" s="2">
        <f>C17*E17*Oljepris!D17*0.03</f>
        <v>4742268.5297934897</v>
      </c>
      <c r="I17" s="2">
        <f>(C17*E17*Oljepris!D17*0.71*0.31-H17)*1.3666</f>
        <v>41066569.04174269</v>
      </c>
      <c r="J17" s="2">
        <f>D17*F17*Oljepris!D17*0.5*0.45</f>
        <v>2071073.9990922199</v>
      </c>
      <c r="K17" s="2">
        <f t="shared" si="0"/>
        <v>43137643.040834911</v>
      </c>
      <c r="N17" s="2">
        <f t="shared" si="1"/>
        <v>0</v>
      </c>
      <c r="O17" s="2"/>
    </row>
    <row r="18" spans="1:15" x14ac:dyDescent="0.25">
      <c r="A18" s="1">
        <v>43160</v>
      </c>
      <c r="C18" s="8">
        <f>Kurdistan!Q19</f>
        <v>130709.36858573627</v>
      </c>
      <c r="D18" s="8">
        <f>Oman!G19</f>
        <v>6541.9639018944727</v>
      </c>
      <c r="E18">
        <f>Oljepris!B18-12</f>
        <v>43</v>
      </c>
      <c r="F18">
        <f>Oljepris!B18-5</f>
        <v>50</v>
      </c>
      <c r="G18" s="18"/>
      <c r="H18" s="2">
        <f>C18*E18*Oljepris!D18*0.03</f>
        <v>5227067.6497435933</v>
      </c>
      <c r="I18" s="2">
        <f>(C18*E18*Oljepris!D18*0.71*0.31-H18)*1.3666</f>
        <v>45264778.486384571</v>
      </c>
      <c r="J18" s="2">
        <f>D18*F18*Oljepris!D18*0.5*0.45</f>
        <v>2281509.9107856974</v>
      </c>
      <c r="K18" s="2">
        <f t="shared" si="0"/>
        <v>47546288.397170268</v>
      </c>
      <c r="L18" s="2">
        <f>SUM(I13:I15)+SUM(J16:J18)</f>
        <v>123501736.15446433</v>
      </c>
      <c r="M18" s="2">
        <f>SUM(H13:H15)</f>
        <v>13492939.465974856</v>
      </c>
      <c r="N18" s="2">
        <f t="shared" si="1"/>
        <v>136994675.6204392</v>
      </c>
      <c r="O18" s="2"/>
    </row>
    <row r="19" spans="1:15" x14ac:dyDescent="0.25">
      <c r="A19" s="1">
        <v>43191</v>
      </c>
      <c r="C19" s="8">
        <f>Kurdistan!Q20</f>
        <v>135135.83868836449</v>
      </c>
      <c r="D19" s="8">
        <f>Oman!G20</f>
        <v>6509.2540823850004</v>
      </c>
      <c r="E19">
        <f>Oljepris!B19-12</f>
        <v>43</v>
      </c>
      <c r="F19">
        <f>Oljepris!B19-5</f>
        <v>50</v>
      </c>
      <c r="G19" s="18"/>
      <c r="H19" s="2">
        <f>C19*E19*Oljepris!D19*0.03</f>
        <v>5229756.9572397051</v>
      </c>
      <c r="I19" s="2">
        <f>(C19*E19*Oljepris!D19*0.71*0.31-H19)*1.3666</f>
        <v>45288067.052029833</v>
      </c>
      <c r="J19" s="2">
        <f>D19*F19*Oljepris!D19*0.5*0.45</f>
        <v>2196873.2528049373</v>
      </c>
      <c r="K19" s="2">
        <f t="shared" si="0"/>
        <v>47484940.304834768</v>
      </c>
      <c r="N19" s="2">
        <f t="shared" si="1"/>
        <v>0</v>
      </c>
      <c r="O19" s="2"/>
    </row>
    <row r="20" spans="1:15" x14ac:dyDescent="0.25">
      <c r="A20" s="1">
        <v>43221</v>
      </c>
      <c r="C20" s="8">
        <f>Kurdistan!Q21</f>
        <v>134491.30706935067</v>
      </c>
      <c r="D20" s="8">
        <f>Oman!G21</f>
        <v>6476.707811973075</v>
      </c>
      <c r="E20">
        <f>Oljepris!B20-12</f>
        <v>43</v>
      </c>
      <c r="F20">
        <f>Oljepris!B20-5</f>
        <v>50</v>
      </c>
      <c r="G20" s="18"/>
      <c r="H20" s="2">
        <f>C20*E20*Oljepris!D20*0.03</f>
        <v>5378307.3697033338</v>
      </c>
      <c r="I20" s="2">
        <f>(C20*E20*Oljepris!D20*0.71*0.31-H20)*1.3666</f>
        <v>46574467.375269763</v>
      </c>
      <c r="J20" s="2">
        <f>D20*F20*Oljepris!D20*0.5*0.45</f>
        <v>2258751.8494256102</v>
      </c>
      <c r="K20" s="2">
        <f t="shared" si="0"/>
        <v>48833219.22469537</v>
      </c>
      <c r="N20" s="2">
        <f t="shared" si="1"/>
        <v>0</v>
      </c>
      <c r="O20" s="2"/>
    </row>
    <row r="21" spans="1:15" x14ac:dyDescent="0.25">
      <c r="A21" s="1">
        <v>43252</v>
      </c>
      <c r="C21" s="8">
        <f>Kurdistan!Q22</f>
        <v>133856.91153824108</v>
      </c>
      <c r="D21" s="8">
        <f>Oman!G22</f>
        <v>6444.3242729132098</v>
      </c>
      <c r="E21">
        <f>Oljepris!B21-12</f>
        <v>43</v>
      </c>
      <c r="F21">
        <f>Oljepris!B21-5</f>
        <v>50</v>
      </c>
      <c r="G21" s="18"/>
      <c r="H21" s="2">
        <f>C21*E21*Oljepris!D21*0.03</f>
        <v>5180262.4765299298</v>
      </c>
      <c r="I21" s="2">
        <f>(C21*E21*Oljepris!D21*0.71*0.31-H21)*1.3666</f>
        <v>44859460.258364826</v>
      </c>
      <c r="J21" s="2">
        <f>D21*F21*Oljepris!D21*0.5*0.45</f>
        <v>2174959.4421082083</v>
      </c>
      <c r="K21" s="2">
        <f t="shared" si="0"/>
        <v>47034419.700473033</v>
      </c>
      <c r="L21" s="2">
        <f>SUM(I16:I18)+SUM(J19:J21)</f>
        <v>135824431.62431499</v>
      </c>
      <c r="M21" s="2">
        <f>SUM(H16:H18)</f>
        <v>14918994.4411369</v>
      </c>
      <c r="N21" s="2">
        <f t="shared" si="1"/>
        <v>150743426.06545189</v>
      </c>
      <c r="O21" s="2"/>
    </row>
    <row r="22" spans="1:15" x14ac:dyDescent="0.25">
      <c r="A22" s="1">
        <v>43282</v>
      </c>
      <c r="C22" s="8">
        <f>Kurdistan!Q23</f>
        <v>136232.49168180922</v>
      </c>
      <c r="D22" s="8">
        <f>Oman!G23</f>
        <v>6412.1026515486437</v>
      </c>
      <c r="E22">
        <f>Oljepris!B22-12</f>
        <v>43</v>
      </c>
      <c r="F22">
        <f>Oljepris!B22-5</f>
        <v>50</v>
      </c>
      <c r="G22" s="18"/>
      <c r="H22" s="2">
        <f>C22*E22*Oljepris!D22*0.03</f>
        <v>5447937.3423555503</v>
      </c>
      <c r="I22" s="2">
        <f>(C22*E22*Oljepris!D22*0.71*0.31-H22)*1.3666</f>
        <v>47177441.260306478</v>
      </c>
      <c r="J22" s="2">
        <f>D22*F22*Oljepris!D22*0.5*0.45</f>
        <v>2236220.7997275898</v>
      </c>
      <c r="K22" s="2">
        <f t="shared" si="0"/>
        <v>49413662.060034066</v>
      </c>
      <c r="N22" s="2">
        <f t="shared" si="1"/>
        <v>0</v>
      </c>
      <c r="O22" s="2"/>
    </row>
    <row r="23" spans="1:15" x14ac:dyDescent="0.25">
      <c r="A23" s="1">
        <v>43313</v>
      </c>
      <c r="C23" s="8">
        <f>Kurdistan!Q24</f>
        <v>140587.88963579846</v>
      </c>
      <c r="D23" s="8">
        <f>Oman!G24</f>
        <v>6380.0421382909008</v>
      </c>
      <c r="E23">
        <f>Oljepris!B23-12</f>
        <v>43</v>
      </c>
      <c r="F23">
        <f>Oljepris!B23-5</f>
        <v>50</v>
      </c>
      <c r="G23" s="18"/>
      <c r="H23" s="2">
        <f>C23*E23*Oljepris!D23*0.03</f>
        <v>5622109.7065355796</v>
      </c>
      <c r="I23" s="2">
        <f>(C23*E23*Oljepris!D23*0.71*0.31-H23)*1.3666</f>
        <v>48685719.70844283</v>
      </c>
      <c r="J23" s="2">
        <f>D23*F23*Oljepris!D23*0.5*0.45</f>
        <v>2225039.6957289521</v>
      </c>
      <c r="K23" s="2">
        <f t="shared" si="0"/>
        <v>50910759.40417178</v>
      </c>
      <c r="N23" s="2">
        <f t="shared" si="1"/>
        <v>0</v>
      </c>
      <c r="O23" s="2"/>
    </row>
    <row r="24" spans="1:15" x14ac:dyDescent="0.25">
      <c r="A24" s="1">
        <v>43344</v>
      </c>
      <c r="C24" s="8">
        <f>Kurdistan!Q25</f>
        <v>139873.25004431492</v>
      </c>
      <c r="D24" s="8">
        <f>Oman!G25</f>
        <v>6348.1419275994467</v>
      </c>
      <c r="E24">
        <f>Oljepris!B24-12</f>
        <v>43</v>
      </c>
      <c r="F24">
        <f>Oljepris!B24-5</f>
        <v>50</v>
      </c>
      <c r="G24" s="18"/>
      <c r="H24" s="2">
        <f>C24*E24*Oljepris!D24*0.03</f>
        <v>5413094.7767149871</v>
      </c>
      <c r="I24" s="2">
        <f>(C24*E24*Oljepris!D24*0.71*0.31-H24)*1.3666</f>
        <v>46875715.489511304</v>
      </c>
      <c r="J24" s="2">
        <f>D24*F24*Oljepris!D24*0.5*0.45</f>
        <v>2142497.9005648135</v>
      </c>
      <c r="K24" s="2">
        <f t="shared" si="0"/>
        <v>49018213.390076116</v>
      </c>
      <c r="L24" s="2">
        <f>SUM(I19:I21)+SUM(J22:J24)</f>
        <v>143325753.08168578</v>
      </c>
      <c r="M24" s="2">
        <f>SUM(H19:H21)</f>
        <v>15788326.80347297</v>
      </c>
      <c r="N24" s="2">
        <f t="shared" si="1"/>
        <v>159114079.88515875</v>
      </c>
      <c r="O24" s="2"/>
    </row>
    <row r="25" spans="1:15" x14ac:dyDescent="0.25">
      <c r="A25" s="1">
        <v>43374</v>
      </c>
      <c r="C25" s="8">
        <f>Kurdistan!Q26</f>
        <v>139169.69701986818</v>
      </c>
      <c r="D25" s="8">
        <f>Oman!G26</f>
        <v>6316.4012179614492</v>
      </c>
      <c r="E25">
        <f>Oljepris!B25-12</f>
        <v>43</v>
      </c>
      <c r="F25">
        <f>Oljepris!B25-5</f>
        <v>50</v>
      </c>
      <c r="G25" s="18"/>
      <c r="H25" s="2">
        <f>C25*E25*Oljepris!D25*0.03</f>
        <v>5565396.1838245289</v>
      </c>
      <c r="I25" s="2">
        <f>(C25*E25*Oljepris!D25*0.71*0.31-H25)*1.3666</f>
        <v>48194598.258575186</v>
      </c>
      <c r="J25" s="2">
        <f>D25*F25*Oljepris!D25*0.5*0.45</f>
        <v>2202844.9247640553</v>
      </c>
      <c r="K25" s="2">
        <f t="shared" si="0"/>
        <v>50397443.183339238</v>
      </c>
      <c r="N25" s="2">
        <f t="shared" si="1"/>
        <v>0</v>
      </c>
      <c r="O25" s="2"/>
    </row>
    <row r="26" spans="1:15" x14ac:dyDescent="0.25">
      <c r="A26" s="1">
        <v>43405</v>
      </c>
      <c r="C26" s="8">
        <f>Kurdistan!Q27</f>
        <v>138477.05665404999</v>
      </c>
      <c r="D26" s="8">
        <f>Oman!G27</f>
        <v>6284.8192118716415</v>
      </c>
      <c r="E26">
        <f>Oljepris!B26-12</f>
        <v>43</v>
      </c>
      <c r="F26">
        <f>Oljepris!B26-5</f>
        <v>50</v>
      </c>
      <c r="G26" s="18"/>
      <c r="H26" s="2">
        <f>C26*E26*Oljepris!D26*0.03</f>
        <v>5359062.0925117349</v>
      </c>
      <c r="I26" s="2">
        <f>(C26*E26*Oljepris!D26*0.71*0.31-H26)*1.3666</f>
        <v>46407809.266486824</v>
      </c>
      <c r="J26" s="2">
        <f>D26*F26*Oljepris!D26*0.5*0.45</f>
        <v>2121126.4840066792</v>
      </c>
      <c r="K26" s="2">
        <f t="shared" si="0"/>
        <v>48528935.750493504</v>
      </c>
      <c r="N26" s="2">
        <f t="shared" si="1"/>
        <v>0</v>
      </c>
      <c r="O26" s="2"/>
    </row>
    <row r="27" spans="1:15" x14ac:dyDescent="0.25">
      <c r="A27" s="1">
        <v>43435</v>
      </c>
      <c r="C27" s="8">
        <f>Kurdistan!Q28</f>
        <v>145795.1577862199</v>
      </c>
      <c r="D27" s="8">
        <f>Oman!G28</f>
        <v>6253.3951158122836</v>
      </c>
      <c r="E27">
        <f>Oljepris!B27-12</f>
        <v>43</v>
      </c>
      <c r="F27">
        <f>Oljepris!B27-5</f>
        <v>50</v>
      </c>
      <c r="G27" s="18"/>
      <c r="H27" s="2">
        <f>C27*E27*Oljepris!D27*0.03</f>
        <v>5830348.3598709339</v>
      </c>
      <c r="I27" s="2">
        <f>(C27*E27*Oljepris!D27*0.71*0.31-H27)*1.3666</f>
        <v>50489001.614692912</v>
      </c>
      <c r="J27" s="2">
        <f>D27*F27*Oljepris!D27*0.5*0.45</f>
        <v>2180871.5466395342</v>
      </c>
      <c r="K27" s="2">
        <f t="shared" si="0"/>
        <v>52669873.161332443</v>
      </c>
      <c r="L27" s="2">
        <f>SUM(I22:I24)+SUM(J25:J27)</f>
        <v>149243719.4136709</v>
      </c>
      <c r="M27" s="2">
        <f>SUM(H22:H24)</f>
        <v>16483141.825606119</v>
      </c>
      <c r="N27" s="2">
        <f t="shared" si="1"/>
        <v>165726861.23927701</v>
      </c>
      <c r="O27" s="2"/>
    </row>
    <row r="28" spans="1:15" x14ac:dyDescent="0.25">
      <c r="A28" s="1">
        <v>43466</v>
      </c>
      <c r="C28" s="8">
        <f>Kurdistan!Q29</f>
        <v>145013.83195988875</v>
      </c>
      <c r="D28" s="8">
        <f>Oman!G29</f>
        <v>6222.1281402332224</v>
      </c>
      <c r="E28">
        <f>Oljepris!B28-12</f>
        <v>48</v>
      </c>
      <c r="F28">
        <f>Oljepris!B28-5</f>
        <v>55</v>
      </c>
      <c r="G28" s="18"/>
      <c r="H28" s="2">
        <f>C28*E28*Oljepris!D28*0.03</f>
        <v>6473417.4586894335</v>
      </c>
      <c r="I28" s="2">
        <f>(C28*E28*Oljepris!D28*0.71*0.31-H28)*1.3666</f>
        <v>56057779.801615022</v>
      </c>
      <c r="J28" s="2">
        <f>D28*F28*Oljepris!D28*0.5*0.45</f>
        <v>2386963.9077969701</v>
      </c>
      <c r="K28" s="2">
        <f t="shared" si="0"/>
        <v>58444743.709411994</v>
      </c>
      <c r="N28" s="2">
        <f t="shared" si="1"/>
        <v>0</v>
      </c>
      <c r="O28" s="2"/>
    </row>
    <row r="29" spans="1:15" x14ac:dyDescent="0.25">
      <c r="A29" s="1">
        <v>43497</v>
      </c>
      <c r="C29" s="8">
        <f>Kurdistan!Q30</f>
        <v>144244.49337979639</v>
      </c>
      <c r="D29" s="8">
        <f>Oman!G30</f>
        <v>6191.0174995320567</v>
      </c>
      <c r="E29">
        <f>Oljepris!B29-12</f>
        <v>48</v>
      </c>
      <c r="F29">
        <f>Oljepris!B29-5</f>
        <v>55</v>
      </c>
      <c r="G29" s="18"/>
      <c r="H29" s="2">
        <f>C29*E29*Oljepris!D29*0.03</f>
        <v>5815937.9730733903</v>
      </c>
      <c r="I29" s="2">
        <f>(C29*E29*Oljepris!D29*0.71*0.31-H29)*1.3666</f>
        <v>50364212.151459947</v>
      </c>
      <c r="J29" s="2">
        <f>D29*F29*Oljepris!D29*0.5*0.45</f>
        <v>2145187.5635878574</v>
      </c>
      <c r="K29" s="2">
        <f t="shared" si="0"/>
        <v>52509399.715047807</v>
      </c>
      <c r="N29" s="2">
        <f t="shared" si="1"/>
        <v>0</v>
      </c>
      <c r="O29" s="2"/>
    </row>
    <row r="30" spans="1:15" x14ac:dyDescent="0.25">
      <c r="A30" s="1">
        <v>43525</v>
      </c>
      <c r="C30" s="8">
        <f>Kurdistan!Q31</f>
        <v>143486.95538967286</v>
      </c>
      <c r="D30" s="8">
        <f>Oman!G31</f>
        <v>6160.0624120343964</v>
      </c>
      <c r="E30">
        <f>Oljepris!B30-12</f>
        <v>48</v>
      </c>
      <c r="F30">
        <f>Oljepris!B30-5</f>
        <v>55</v>
      </c>
      <c r="G30" s="18"/>
      <c r="H30" s="2">
        <f>C30*E30*Oljepris!D30*0.03</f>
        <v>6405257.688594996</v>
      </c>
      <c r="I30" s="2">
        <f>(C30*E30*Oljepris!D30*0.71*0.31-H30)*1.3666</f>
        <v>55467537.41300562</v>
      </c>
      <c r="J30" s="2">
        <f>D30*F30*Oljepris!D30*0.5*0.45</f>
        <v>2363153.9428166957</v>
      </c>
      <c r="K30" s="2">
        <f t="shared" si="0"/>
        <v>57830691.355822317</v>
      </c>
      <c r="L30" s="2">
        <f>SUM(I25:I27)+SUM(J28:J30)</f>
        <v>151986714.55395645</v>
      </c>
      <c r="M30" s="2">
        <f>SUM(H25:H27)</f>
        <v>16754806.636207197</v>
      </c>
      <c r="N30" s="2">
        <f t="shared" si="1"/>
        <v>168741521.19016364</v>
      </c>
      <c r="O30" s="2"/>
    </row>
    <row r="31" spans="1:15" x14ac:dyDescent="0.25">
      <c r="A31" s="1">
        <v>43556</v>
      </c>
      <c r="C31" s="8">
        <f>Kurdistan!Q32</f>
        <v>147741.03426835177</v>
      </c>
      <c r="D31" s="8">
        <f>Oman!G32</f>
        <v>6129.2620999742248</v>
      </c>
      <c r="E31">
        <f>Oljepris!B31-12</f>
        <v>48</v>
      </c>
      <c r="F31">
        <f>Oljepris!B31-5</f>
        <v>55</v>
      </c>
      <c r="G31" s="18"/>
      <c r="H31" s="2">
        <f>C31*E31*Oljepris!D31*0.03</f>
        <v>6382412.6803927962</v>
      </c>
      <c r="I31" s="2">
        <f>(C31*E31*Oljepris!D31*0.71*0.31-H31)*1.3666</f>
        <v>55269706.754387118</v>
      </c>
      <c r="J31" s="2">
        <f>D31*F31*Oljepris!D31*0.5*0.45</f>
        <v>2275488.554615431</v>
      </c>
      <c r="K31" s="2">
        <f t="shared" si="0"/>
        <v>57545195.309002548</v>
      </c>
      <c r="N31" s="2">
        <f t="shared" si="1"/>
        <v>0</v>
      </c>
      <c r="O31" s="2"/>
    </row>
    <row r="32" spans="1:15" x14ac:dyDescent="0.25">
      <c r="A32" s="1">
        <v>43586</v>
      </c>
      <c r="C32" s="8">
        <f>Kurdistan!Q33</f>
        <v>149926.5491833227</v>
      </c>
      <c r="D32" s="8">
        <f>Oman!G33</f>
        <v>6098.6157894743537</v>
      </c>
      <c r="E32">
        <f>Oljepris!B32-12</f>
        <v>48</v>
      </c>
      <c r="F32">
        <f>Oljepris!B32-5</f>
        <v>55</v>
      </c>
      <c r="G32" s="18"/>
      <c r="H32" s="2">
        <f>C32*E32*Oljepris!D32*0.03</f>
        <v>6692721.1555435248</v>
      </c>
      <c r="I32" s="2">
        <f>(C32*E32*Oljepris!D32*0.71*0.31-H32)*1.3666</f>
        <v>57956881.539820492</v>
      </c>
      <c r="J32" s="2">
        <f>D32*F32*Oljepris!D32*0.5*0.45</f>
        <v>2339581.4822370987</v>
      </c>
      <c r="K32" s="2">
        <f t="shared" si="0"/>
        <v>60296463.022057593</v>
      </c>
      <c r="N32" s="2">
        <f t="shared" si="1"/>
        <v>0</v>
      </c>
      <c r="O32" s="2"/>
    </row>
    <row r="33" spans="1:15" x14ac:dyDescent="0.25">
      <c r="A33" s="1">
        <v>43617</v>
      </c>
      <c r="C33" s="8">
        <f>Kurdistan!Q34</f>
        <v>149094.60214502143</v>
      </c>
      <c r="D33" s="8">
        <f>Oman!G34</f>
        <v>6068.1227105269818</v>
      </c>
      <c r="E33">
        <f>Oljepris!B33-12</f>
        <v>48</v>
      </c>
      <c r="F33">
        <f>Oljepris!B33-5</f>
        <v>55</v>
      </c>
      <c r="G33" s="18"/>
      <c r="H33" s="2">
        <f>C33*E33*Oljepris!D33*0.03</f>
        <v>6440886.8126649251</v>
      </c>
      <c r="I33" s="2">
        <f>(C33*E33*Oljepris!D33*0.71*0.31-H33)*1.3666</f>
        <v>55776074.534917243</v>
      </c>
      <c r="J33" s="2">
        <f>D33*F33*Oljepris!D33*0.5*0.45</f>
        <v>2252790.556283142</v>
      </c>
      <c r="K33" s="2">
        <f t="shared" si="0"/>
        <v>58028865.091200382</v>
      </c>
      <c r="L33" s="2">
        <f>SUM(I28:I30)+SUM(J31:J33)</f>
        <v>168757389.95921627</v>
      </c>
      <c r="M33" s="2">
        <f>SUM(H28:H30)</f>
        <v>18694613.120357819</v>
      </c>
      <c r="N33" s="2">
        <f t="shared" si="1"/>
        <v>187452003.07957408</v>
      </c>
      <c r="O33" s="2"/>
    </row>
    <row r="34" spans="1:15" x14ac:dyDescent="0.25">
      <c r="A34" s="1">
        <v>43647</v>
      </c>
      <c r="C34" s="8">
        <f>Kurdistan!Q35</f>
        <v>148275.29748184665</v>
      </c>
      <c r="D34" s="8">
        <f>Oman!G35</f>
        <v>6037.782096974347</v>
      </c>
      <c r="E34">
        <f>Oljepris!B34-12</f>
        <v>48</v>
      </c>
      <c r="F34">
        <f>Oljepris!B34-5</f>
        <v>55</v>
      </c>
      <c r="G34" s="18"/>
      <c r="H34" s="2">
        <f>C34*E34*Oljepris!D34*0.03</f>
        <v>6619009.2795896344</v>
      </c>
      <c r="I34" s="2">
        <f>(C34*E34*Oljepris!D34*0.71*0.31-H34)*1.3666</f>
        <v>57318559.643023849</v>
      </c>
      <c r="J34" s="2">
        <f>D34*F34*Oljepris!D34*0.5*0.45</f>
        <v>2316244.1569517842</v>
      </c>
      <c r="K34" s="2">
        <f t="shared" si="0"/>
        <v>59634803.799975634</v>
      </c>
      <c r="N34" s="2">
        <f t="shared" si="1"/>
        <v>0</v>
      </c>
      <c r="O34" s="2"/>
    </row>
    <row r="35" spans="1:15" x14ac:dyDescent="0.25">
      <c r="A35" s="1">
        <v>43678</v>
      </c>
      <c r="C35" s="8">
        <f>Kurdistan!Q36</f>
        <v>152468.43960357126</v>
      </c>
      <c r="D35" s="8">
        <f>Oman!G36</f>
        <v>6007.5931864894756</v>
      </c>
      <c r="E35">
        <f>Oljepris!B35-12</f>
        <v>48</v>
      </c>
      <c r="F35">
        <f>Oljepris!B35-5</f>
        <v>55</v>
      </c>
      <c r="G35" s="18"/>
      <c r="H35" s="2">
        <f>C35*E35*Oljepris!D35*0.03</f>
        <v>6806191.1439034203</v>
      </c>
      <c r="I35" s="2">
        <f>(C35*E35*Oljepris!D35*0.71*0.31-H35)*1.3666</f>
        <v>58939496.312027492</v>
      </c>
      <c r="J35" s="2">
        <f>D35*F35*Oljepris!D35*0.5*0.45</f>
        <v>2304662.936167025</v>
      </c>
      <c r="K35" s="2">
        <f t="shared" si="0"/>
        <v>61244159.248194516</v>
      </c>
      <c r="N35" s="2">
        <f t="shared" si="1"/>
        <v>0</v>
      </c>
      <c r="O35" s="2"/>
    </row>
    <row r="36" spans="1:15" x14ac:dyDescent="0.25">
      <c r="A36" s="1">
        <v>43709</v>
      </c>
      <c r="C36" s="8">
        <f>Kurdistan!Q37</f>
        <v>151593.8359825339</v>
      </c>
      <c r="D36" s="8">
        <f>Oman!G37</f>
        <v>5977.5552205570284</v>
      </c>
      <c r="E36">
        <f>Oljepris!B36-12</f>
        <v>48</v>
      </c>
      <c r="F36">
        <f>Oljepris!B36-5</f>
        <v>55</v>
      </c>
      <c r="G36" s="18"/>
      <c r="H36" s="2">
        <f>C36*E36*Oljepris!D36*0.03</f>
        <v>6548853.7144454652</v>
      </c>
      <c r="I36" s="2">
        <f>(C36*E36*Oljepris!D36*0.71*0.31-H36)*1.3666</f>
        <v>56711034.290641293</v>
      </c>
      <c r="J36" s="2">
        <f>D36*F36*Oljepris!D36*0.5*0.45</f>
        <v>2219167.3756317971</v>
      </c>
      <c r="K36" s="2">
        <f t="shared" si="0"/>
        <v>58930201.666273087</v>
      </c>
      <c r="L36" s="2">
        <f>SUM(I31:I33)+SUM(J34:J36)</f>
        <v>175842737.29787543</v>
      </c>
      <c r="M36" s="2">
        <f>SUM(H31:H33)</f>
        <v>19516020.648601245</v>
      </c>
      <c r="N36" s="2">
        <f t="shared" si="1"/>
        <v>195358757.94647667</v>
      </c>
      <c r="O36" s="2"/>
    </row>
    <row r="37" spans="1:15" x14ac:dyDescent="0.25">
      <c r="A37" s="1">
        <v>43739</v>
      </c>
      <c r="C37" s="8">
        <f>Kurdistan!Q38</f>
        <v>153732.57710530696</v>
      </c>
      <c r="D37" s="8">
        <f>Oman!G38</f>
        <v>5947.6674444542432</v>
      </c>
      <c r="E37">
        <f>Oljepris!B37-12</f>
        <v>48</v>
      </c>
      <c r="F37">
        <f>Oljepris!B37-5</f>
        <v>55</v>
      </c>
      <c r="G37" s="18"/>
      <c r="H37" s="2">
        <f>C37*E37*Oljepris!D37*0.03</f>
        <v>6862622.2419809029</v>
      </c>
      <c r="I37" s="2">
        <f>(C37*E37*Oljepris!D37*0.71*0.31-H37)*1.3666</f>
        <v>59428172.052496612</v>
      </c>
      <c r="J37" s="2">
        <f>D37*F37*Oljepris!D37*0.5*0.45</f>
        <v>2281673.9233787595</v>
      </c>
      <c r="K37" s="2">
        <f t="shared" si="0"/>
        <v>61709845.97587537</v>
      </c>
      <c r="N37" s="2">
        <f t="shared" si="1"/>
        <v>0</v>
      </c>
      <c r="O37" s="2"/>
    </row>
    <row r="38" spans="1:15" x14ac:dyDescent="0.25">
      <c r="A38" s="1">
        <v>43770</v>
      </c>
      <c r="C38" s="8">
        <f>Kurdistan!Q39</f>
        <v>152854.4559451307</v>
      </c>
      <c r="D38" s="8">
        <f>Oman!G39</f>
        <v>5917.929107231972</v>
      </c>
      <c r="E38">
        <f>Oljepris!B38-12</f>
        <v>48</v>
      </c>
      <c r="F38">
        <f>Oljepris!B38-5</f>
        <v>55</v>
      </c>
      <c r="G38" s="18"/>
      <c r="H38" s="2">
        <f>C38*E38*Oljepris!D38*0.03</f>
        <v>6603312.4968296466</v>
      </c>
      <c r="I38" s="2">
        <f>(C38*E38*Oljepris!D38*0.71*0.31-H38)*1.3666</f>
        <v>57182630.39125406</v>
      </c>
      <c r="J38" s="2">
        <f>D38*F38*Oljepris!D38*0.5*0.45</f>
        <v>2197031.1810598695</v>
      </c>
      <c r="K38" s="2">
        <f t="shared" si="0"/>
        <v>59379661.572313927</v>
      </c>
      <c r="N38" s="2">
        <f t="shared" si="1"/>
        <v>0</v>
      </c>
      <c r="O38" s="2"/>
    </row>
    <row r="39" spans="1:15" x14ac:dyDescent="0.25">
      <c r="A39" s="1">
        <v>43800</v>
      </c>
      <c r="C39" s="8">
        <f>Kurdistan!Q40</f>
        <v>156989.56872278219</v>
      </c>
      <c r="D39" s="8">
        <f>Oman!G40</f>
        <v>5888.3394616958121</v>
      </c>
      <c r="E39">
        <f>Oljepris!B39-12</f>
        <v>48</v>
      </c>
      <c r="F39">
        <f>Oljepris!B39-5</f>
        <v>55</v>
      </c>
      <c r="G39" s="18"/>
      <c r="H39" s="2">
        <f>C39*E39*Oljepris!D39*0.03</f>
        <v>7008014.347784997</v>
      </c>
      <c r="I39" s="2">
        <f>(C39*E39*Oljepris!D39*0.71*0.31-H39)*1.3666</f>
        <v>60687222.423351131</v>
      </c>
      <c r="J39" s="2">
        <f>D39*F39*Oljepris!D39*0.5*0.45</f>
        <v>2258914.2259930563</v>
      </c>
      <c r="K39" s="2">
        <f t="shared" si="0"/>
        <v>62946136.649344191</v>
      </c>
      <c r="L39" s="2">
        <f>SUM(I34:I36)+SUM(J37:J39)</f>
        <v>179706709.57612431</v>
      </c>
      <c r="M39" s="2">
        <f>SUM(H34:H36)</f>
        <v>19974054.137938518</v>
      </c>
      <c r="N39" s="2">
        <f t="shared" si="1"/>
        <v>199680763.71406284</v>
      </c>
      <c r="O39" s="2"/>
    </row>
    <row r="40" spans="1:15" x14ac:dyDescent="0.25">
      <c r="A40" s="1">
        <v>43831</v>
      </c>
      <c r="C40" s="8">
        <f>Kurdistan!Q41</f>
        <v>156057.71185526351</v>
      </c>
      <c r="D40" s="8">
        <f>Oman!G41</f>
        <v>5858.8977643873332</v>
      </c>
      <c r="E40">
        <f>Oljepris!B40-12</f>
        <v>53</v>
      </c>
      <c r="F40">
        <f>Oljepris!B40-5</f>
        <v>60</v>
      </c>
      <c r="G40" s="18"/>
      <c r="H40" s="2">
        <f>C40*E40*Oljepris!D40*0.03</f>
        <v>7692084.6173459375</v>
      </c>
      <c r="I40" s="2">
        <f>(C40*E40*Oljepris!D40*0.71*0.31-H40)*1.3666</f>
        <v>66611057.983871616</v>
      </c>
      <c r="J40" s="2">
        <f>D40*F40*Oljepris!D40*0.5*0.45</f>
        <v>2451948.7143960991</v>
      </c>
      <c r="K40" s="2">
        <f t="shared" si="0"/>
        <v>69063006.698267713</v>
      </c>
      <c r="N40" s="2">
        <f t="shared" si="1"/>
        <v>0</v>
      </c>
      <c r="O40" s="2"/>
    </row>
    <row r="41" spans="1:15" x14ac:dyDescent="0.25">
      <c r="A41" s="1">
        <v>43862</v>
      </c>
      <c r="C41" s="8">
        <f>Kurdistan!Q42</f>
        <v>155139.96493530466</v>
      </c>
      <c r="D41" s="8">
        <f>Oman!G42</f>
        <v>5829.6032755653969</v>
      </c>
      <c r="E41">
        <f>Oljepris!B41-12</f>
        <v>53</v>
      </c>
      <c r="F41">
        <f>Oljepris!B41-5</f>
        <v>60</v>
      </c>
      <c r="G41" s="18"/>
      <c r="H41" s="2">
        <f>C41*E41*Oljepris!D41*0.03</f>
        <v>6906831.238919762</v>
      </c>
      <c r="I41" s="2">
        <f>(C41*E41*Oljepris!D41*0.71*0.31-H41)*1.3666</f>
        <v>59811008.202252761</v>
      </c>
      <c r="J41" s="2">
        <f>D41*F41*Oljepris!D41*0.5*0.45</f>
        <v>2203590.0381637197</v>
      </c>
      <c r="K41" s="2">
        <f t="shared" si="0"/>
        <v>62014598.240416482</v>
      </c>
      <c r="N41" s="2">
        <f t="shared" si="1"/>
        <v>0</v>
      </c>
      <c r="O41" s="2"/>
    </row>
    <row r="42" spans="1:15" x14ac:dyDescent="0.25">
      <c r="A42" s="1">
        <v>43891</v>
      </c>
      <c r="C42" s="8">
        <f>Kurdistan!Q43</f>
        <v>157236.1102013679</v>
      </c>
      <c r="D42" s="8">
        <f>Oman!G43</f>
        <v>5800.4552591875699</v>
      </c>
      <c r="E42">
        <f>Oljepris!B42-12</f>
        <v>53</v>
      </c>
      <c r="F42">
        <f>Oljepris!B42-5</f>
        <v>60</v>
      </c>
      <c r="G42" s="18"/>
      <c r="H42" s="2">
        <f>C42*E42*Oljepris!D42*0.03</f>
        <v>7750167.8718254231</v>
      </c>
      <c r="I42" s="2">
        <f>(C42*E42*Oljepris!D42*0.71*0.31-H42)*1.3666</f>
        <v>67114040.884410739</v>
      </c>
      <c r="J42" s="2">
        <f>D42*F42*Oljepris!D42*0.5*0.45</f>
        <v>2427490.525969998</v>
      </c>
      <c r="K42" s="2">
        <f t="shared" si="0"/>
        <v>69541531.410380736</v>
      </c>
      <c r="L42" s="2">
        <f>SUM(I37:I39)+SUM(J40:J42)</f>
        <v>184381054.14563164</v>
      </c>
      <c r="M42" s="2">
        <f>SUM(H37:H39)</f>
        <v>20473949.086595546</v>
      </c>
      <c r="N42" s="2">
        <f t="shared" si="1"/>
        <v>204855003.23222718</v>
      </c>
      <c r="O42" s="2"/>
    </row>
    <row r="43" spans="1:15" x14ac:dyDescent="0.25">
      <c r="A43" s="1">
        <v>43922</v>
      </c>
      <c r="C43" s="8">
        <f>Kurdistan!Q44</f>
        <v>161315.93329612387</v>
      </c>
      <c r="D43" s="8">
        <f>Oman!G44</f>
        <v>5771.452982891632</v>
      </c>
      <c r="E43">
        <f>Oljepris!B43-12</f>
        <v>53</v>
      </c>
      <c r="F43">
        <f>Oljepris!B43-5</f>
        <v>60</v>
      </c>
      <c r="G43" s="18"/>
      <c r="H43" s="2">
        <f>C43*E43*Oljepris!D43*0.03</f>
        <v>7694770.0182251083</v>
      </c>
      <c r="I43" s="2">
        <f>(C43*E43*Oljepris!D43*0.71*0.31-H43)*1.3666</f>
        <v>66634312.719430439</v>
      </c>
      <c r="J43" s="2">
        <f>D43*F43*Oljepris!D43*0.5*0.45</f>
        <v>2337438.4580711112</v>
      </c>
      <c r="K43" s="2">
        <f t="shared" si="0"/>
        <v>68971751.177501544</v>
      </c>
      <c r="N43" s="2">
        <f t="shared" si="1"/>
        <v>0</v>
      </c>
      <c r="O43" s="2"/>
    </row>
    <row r="44" spans="1:15" x14ac:dyDescent="0.25">
      <c r="A44" s="1">
        <v>43952</v>
      </c>
      <c r="C44" s="8">
        <f>Kurdistan!Q45</f>
        <v>160329.52321278394</v>
      </c>
      <c r="D44" s="8">
        <f>Oman!G45</f>
        <v>5742.595717977174</v>
      </c>
      <c r="E44">
        <f>Oljepris!B44-12</f>
        <v>53</v>
      </c>
      <c r="F44">
        <f>Oljepris!B44-5</f>
        <v>60</v>
      </c>
      <c r="G44" s="18"/>
      <c r="H44" s="2">
        <f>C44*E44*Oljepris!D44*0.03</f>
        <v>7902642.1991581209</v>
      </c>
      <c r="I44" s="2">
        <f>(C44*E44*Oljepris!D44*0.71*0.31-H44)*1.3666</f>
        <v>68434421.088771328</v>
      </c>
      <c r="J44" s="2">
        <f>D44*F44*Oljepris!D44*0.5*0.45</f>
        <v>2403276.3079734473</v>
      </c>
      <c r="K44" s="2">
        <f t="shared" si="0"/>
        <v>70837697.396744773</v>
      </c>
      <c r="N44" s="2">
        <f t="shared" si="1"/>
        <v>0</v>
      </c>
      <c r="O44" s="2"/>
    </row>
    <row r="45" spans="1:15" x14ac:dyDescent="0.25">
      <c r="A45" s="1">
        <v>43983</v>
      </c>
      <c r="C45" s="8">
        <f>Kurdistan!Q46</f>
        <v>159357.9492422835</v>
      </c>
      <c r="D45" s="8">
        <f>Oman!G46</f>
        <v>5713.882739387288</v>
      </c>
      <c r="E45">
        <f>Oljepris!B45-12</f>
        <v>53</v>
      </c>
      <c r="F45">
        <f>Oljepris!B45-5</f>
        <v>60</v>
      </c>
      <c r="G45" s="18"/>
      <c r="H45" s="2">
        <f>C45*E45*Oljepris!D45*0.03</f>
        <v>7601374.1788569232</v>
      </c>
      <c r="I45" s="2">
        <f>(C45*E45*Oljepris!D45*0.71*0.31-H45)*1.3666</f>
        <v>65825533.827739924</v>
      </c>
      <c r="J45" s="2">
        <f>D45*F45*Oljepris!D45*0.5*0.45</f>
        <v>2314122.5094518517</v>
      </c>
      <c r="K45" s="2">
        <f t="shared" si="0"/>
        <v>68139656.337191775</v>
      </c>
      <c r="L45" s="2">
        <f>SUM(I40:I42)+SUM(J43:J45)</f>
        <v>200590944.34603155</v>
      </c>
      <c r="M45" s="2">
        <f>SUM(H40:H42)</f>
        <v>22349083.728091121</v>
      </c>
      <c r="N45" s="2">
        <f t="shared" si="1"/>
        <v>222940028.07412267</v>
      </c>
      <c r="O45" s="2"/>
    </row>
    <row r="46" spans="1:15" x14ac:dyDescent="0.25">
      <c r="A46" s="1">
        <v>44013</v>
      </c>
      <c r="C46" s="8">
        <f>Kurdistan!Q47</f>
        <v>158400.983471302</v>
      </c>
      <c r="D46" s="8">
        <f>Oman!G47</f>
        <v>5685.3133256903511</v>
      </c>
      <c r="E46">
        <f>Oljepris!B46-12</f>
        <v>53</v>
      </c>
      <c r="F46">
        <f>Oljepris!B46-5</f>
        <v>60</v>
      </c>
      <c r="G46" s="18"/>
      <c r="H46" s="2">
        <f>C46*E46*Oljepris!D46*0.03</f>
        <v>7807584.475300475</v>
      </c>
      <c r="I46" s="2">
        <f>(C46*E46*Oljepris!D46*0.71*0.31-H46)*1.3666</f>
        <v>67611250.794802144</v>
      </c>
      <c r="J46" s="2">
        <f>D46*F46*Oljepris!D46*0.5*0.45</f>
        <v>2379303.6268014121</v>
      </c>
      <c r="K46" s="2">
        <f t="shared" si="0"/>
        <v>69990554.42160356</v>
      </c>
      <c r="N46" s="2">
        <f t="shared" si="1"/>
        <v>0</v>
      </c>
      <c r="O46" s="2"/>
    </row>
    <row r="47" spans="1:15" x14ac:dyDescent="0.25">
      <c r="A47" s="1">
        <v>44044</v>
      </c>
      <c r="C47" s="8">
        <f>Kurdistan!Q48</f>
        <v>165458.40153848726</v>
      </c>
      <c r="D47" s="8">
        <f>Oman!G48</f>
        <v>5656.8867590618993</v>
      </c>
      <c r="E47">
        <f>Oljepris!B47-12</f>
        <v>53</v>
      </c>
      <c r="F47">
        <f>Oljepris!B47-5</f>
        <v>60</v>
      </c>
      <c r="G47" s="18"/>
      <c r="H47" s="2">
        <f>C47*E47*Oljepris!D47*0.03</f>
        <v>8155444.6118320385</v>
      </c>
      <c r="I47" s="2">
        <f>(C47*E47*Oljepris!D47*0.71*0.31-H47)*1.3666</f>
        <v>70623611.276709631</v>
      </c>
      <c r="J47" s="2">
        <f>D47*F47*Oljepris!D47*0.5*0.45</f>
        <v>2367407.1086674049</v>
      </c>
      <c r="K47" s="2">
        <f t="shared" si="0"/>
        <v>72991018.385377035</v>
      </c>
      <c r="N47" s="2">
        <f t="shared" si="1"/>
        <v>0</v>
      </c>
      <c r="O47" s="2"/>
    </row>
    <row r="48" spans="1:15" x14ac:dyDescent="0.25">
      <c r="A48" s="1">
        <v>44075</v>
      </c>
      <c r="C48" s="8">
        <f>Kurdistan!Q49</f>
        <v>164419.98257857031</v>
      </c>
      <c r="D48" s="8">
        <f>Oman!G49</f>
        <v>5628.60232526659</v>
      </c>
      <c r="E48">
        <f>Oljepris!B48-12</f>
        <v>53</v>
      </c>
      <c r="F48">
        <f>Oljepris!B48-5</f>
        <v>60</v>
      </c>
      <c r="G48" s="18"/>
      <c r="H48" s="2">
        <f>C48*E48*Oljepris!D48*0.03</f>
        <v>7842833.1689978037</v>
      </c>
      <c r="I48" s="2">
        <f>(C48*E48*Oljepris!D48*0.71*0.31-H48)*1.3666</f>
        <v>67916493.508127704</v>
      </c>
      <c r="J48" s="2">
        <f>D48*F48*Oljepris!D48*0.5*0.45</f>
        <v>2279583.9417329691</v>
      </c>
      <c r="K48" s="2">
        <f t="shared" si="0"/>
        <v>70196077.449860677</v>
      </c>
      <c r="L48" s="2">
        <f>SUM(I43:I45)+SUM(J46:J48)</f>
        <v>207920562.31314346</v>
      </c>
      <c r="M48" s="2">
        <f>SUM(H43:H45)</f>
        <v>23198786.396240152</v>
      </c>
      <c r="N48" s="2">
        <f t="shared" si="1"/>
        <v>231119348.70938361</v>
      </c>
      <c r="O48" s="2"/>
    </row>
    <row r="49" spans="1:15" x14ac:dyDescent="0.25">
      <c r="A49" s="1">
        <v>44105</v>
      </c>
      <c r="C49" s="8">
        <f>Kurdistan!Q50</f>
        <v>163397.08916736502</v>
      </c>
      <c r="D49" s="8">
        <f>Oman!G50</f>
        <v>5600.4593136402573</v>
      </c>
      <c r="E49">
        <f>Oljepris!B49-12</f>
        <v>53</v>
      </c>
      <c r="F49">
        <f>Oljepris!B49-5</f>
        <v>60</v>
      </c>
      <c r="G49" s="18"/>
      <c r="H49" s="2">
        <f>C49*E49*Oljepris!D49*0.03</f>
        <v>8053842.5250594215</v>
      </c>
      <c r="I49" s="2">
        <f>(C49*E49*Oljepris!D49*0.71*0.31-H49)*1.3666</f>
        <v>69743768.837375119</v>
      </c>
      <c r="J49" s="2">
        <f>D49*F49*Oljepris!D49*0.5*0.45</f>
        <v>2343792.2227584478</v>
      </c>
      <c r="K49" s="2">
        <f t="shared" si="0"/>
        <v>72087561.060133561</v>
      </c>
      <c r="N49" s="2">
        <f t="shared" si="1"/>
        <v>0</v>
      </c>
      <c r="O49" s="2"/>
    </row>
    <row r="50" spans="1:15" x14ac:dyDescent="0.25">
      <c r="A50" s="1">
        <v>44136</v>
      </c>
      <c r="C50" s="8">
        <f>Kurdistan!Q51</f>
        <v>162389.48378763851</v>
      </c>
      <c r="D50" s="8">
        <f>Oman!G51</f>
        <v>5572.4570170720563</v>
      </c>
      <c r="E50">
        <f>Oljepris!B50-12</f>
        <v>53</v>
      </c>
      <c r="F50">
        <f>Oljepris!B50-5</f>
        <v>60</v>
      </c>
      <c r="G50" s="18"/>
      <c r="H50" s="2">
        <f>C50*E50*Oljepris!D50*0.03</f>
        <v>7745978.3766703568</v>
      </c>
      <c r="I50" s="2">
        <f>(C50*E50*Oljepris!D50*0.71*0.31-H50)*1.3666</f>
        <v>67077761.160697348</v>
      </c>
      <c r="J50" s="2">
        <f>D50*F50*Oljepris!D50*0.5*0.45</f>
        <v>2256845.091914183</v>
      </c>
      <c r="K50" s="2">
        <f t="shared" si="0"/>
        <v>69334606.252611533</v>
      </c>
      <c r="N50" s="2">
        <f t="shared" si="1"/>
        <v>0</v>
      </c>
      <c r="O50" s="2"/>
    </row>
    <row r="51" spans="1:15" x14ac:dyDescent="0.25">
      <c r="A51" s="1">
        <v>44166</v>
      </c>
      <c r="C51" s="8">
        <f>Kurdistan!Q52</f>
        <v>169396.93261351809</v>
      </c>
      <c r="D51" s="8">
        <f>Oman!G52</f>
        <v>5544.5947319866964</v>
      </c>
      <c r="E51">
        <f>Oljepris!B51-12</f>
        <v>53</v>
      </c>
      <c r="F51">
        <f>Oljepris!B51-5</f>
        <v>60</v>
      </c>
      <c r="G51" s="18"/>
      <c r="H51" s="2">
        <f>C51*E51*Oljepris!D51*0.03</f>
        <v>8349574.8085203068</v>
      </c>
      <c r="I51" s="2">
        <f>(C51*E51*Oljepris!D51*0.71*0.31-H51)*1.3666</f>
        <v>72304718.340828791</v>
      </c>
      <c r="J51" s="2">
        <f>D51*F51*Oljepris!D51*0.5*0.45</f>
        <v>2320412.8953364324</v>
      </c>
      <c r="K51" s="2">
        <f t="shared" si="0"/>
        <v>74625131.236165226</v>
      </c>
      <c r="L51" s="2">
        <f>SUM(I46:I48)+SUM(J49:J51)</f>
        <v>213072405.78964856</v>
      </c>
      <c r="M51" s="2">
        <f>SUM(H46:H48)</f>
        <v>23805862.256130315</v>
      </c>
      <c r="N51" s="2">
        <f t="shared" si="1"/>
        <v>236878268.04577887</v>
      </c>
      <c r="O51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workbookViewId="0">
      <pane ySplit="2" topLeftCell="A3" activePane="bottomLeft" state="frozen"/>
      <selection pane="bottomLeft" activeCell="B12" sqref="B12"/>
    </sheetView>
  </sheetViews>
  <sheetFormatPr defaultRowHeight="15" x14ac:dyDescent="0.25"/>
  <sheetData>
    <row r="1" spans="1:12" x14ac:dyDescent="0.25">
      <c r="A1" t="s">
        <v>6</v>
      </c>
      <c r="D1" t="s">
        <v>7</v>
      </c>
    </row>
    <row r="2" spans="1:12" x14ac:dyDescent="0.25">
      <c r="A2" s="3" t="s">
        <v>9</v>
      </c>
    </row>
    <row r="4" spans="1:12" x14ac:dyDescent="0.25">
      <c r="A4" s="1">
        <v>42736</v>
      </c>
      <c r="B4">
        <v>54.58</v>
      </c>
      <c r="D4">
        <v>31</v>
      </c>
      <c r="F4" t="s">
        <v>50</v>
      </c>
      <c r="H4" s="12">
        <v>52</v>
      </c>
      <c r="J4" t="s">
        <v>55</v>
      </c>
      <c r="L4" s="16">
        <f>SUM(B4:B15)/12</f>
        <v>51.540833333333332</v>
      </c>
    </row>
    <row r="5" spans="1:12" x14ac:dyDescent="0.25">
      <c r="A5" s="1">
        <v>42767</v>
      </c>
      <c r="B5">
        <v>54.87</v>
      </c>
      <c r="D5">
        <v>28</v>
      </c>
      <c r="F5" t="s">
        <v>51</v>
      </c>
      <c r="H5" s="12">
        <v>55</v>
      </c>
      <c r="J5" t="s">
        <v>56</v>
      </c>
      <c r="L5" s="16">
        <f>SUM(B16:B27)/12</f>
        <v>55</v>
      </c>
    </row>
    <row r="6" spans="1:12" x14ac:dyDescent="0.25">
      <c r="A6" s="1">
        <v>42795</v>
      </c>
      <c r="B6">
        <v>51.9</v>
      </c>
      <c r="D6">
        <v>31</v>
      </c>
      <c r="F6" t="s">
        <v>52</v>
      </c>
      <c r="H6" s="12">
        <v>60</v>
      </c>
      <c r="J6" t="s">
        <v>57</v>
      </c>
      <c r="L6" s="16">
        <f>SUM(B28:B39)/12</f>
        <v>60</v>
      </c>
    </row>
    <row r="7" spans="1:12" x14ac:dyDescent="0.25">
      <c r="A7" s="1">
        <v>42826</v>
      </c>
      <c r="B7">
        <v>52.31</v>
      </c>
      <c r="D7">
        <v>30</v>
      </c>
      <c r="F7" t="s">
        <v>53</v>
      </c>
      <c r="H7" s="12">
        <v>65</v>
      </c>
      <c r="J7" t="s">
        <v>58</v>
      </c>
      <c r="L7" s="16">
        <f>SUM(B40:B51)/12</f>
        <v>65</v>
      </c>
    </row>
    <row r="8" spans="1:12" x14ac:dyDescent="0.25">
      <c r="A8" s="1">
        <v>42856</v>
      </c>
      <c r="B8">
        <v>50.33</v>
      </c>
      <c r="D8">
        <v>31</v>
      </c>
    </row>
    <row r="9" spans="1:12" x14ac:dyDescent="0.25">
      <c r="A9" s="1">
        <v>42887</v>
      </c>
      <c r="B9">
        <v>46.37</v>
      </c>
      <c r="D9">
        <v>30</v>
      </c>
    </row>
    <row r="10" spans="1:12" x14ac:dyDescent="0.25">
      <c r="A10" s="1">
        <v>42917</v>
      </c>
      <c r="B10">
        <v>48.48</v>
      </c>
      <c r="D10">
        <v>31</v>
      </c>
    </row>
    <row r="11" spans="1:12" x14ac:dyDescent="0.25">
      <c r="A11" s="1">
        <v>42948</v>
      </c>
      <c r="B11">
        <v>51.65</v>
      </c>
      <c r="D11">
        <v>31</v>
      </c>
    </row>
    <row r="12" spans="1:12" x14ac:dyDescent="0.25">
      <c r="A12" s="1">
        <v>42979</v>
      </c>
      <c r="B12">
        <f>H4</f>
        <v>52</v>
      </c>
      <c r="D12">
        <v>30</v>
      </c>
    </row>
    <row r="13" spans="1:12" x14ac:dyDescent="0.25">
      <c r="A13" s="1">
        <v>43009</v>
      </c>
      <c r="B13">
        <f>H4</f>
        <v>52</v>
      </c>
      <c r="D13">
        <v>31</v>
      </c>
    </row>
    <row r="14" spans="1:12" x14ac:dyDescent="0.25">
      <c r="A14" s="1">
        <v>43040</v>
      </c>
      <c r="B14">
        <f>H4</f>
        <v>52</v>
      </c>
      <c r="D14">
        <v>30</v>
      </c>
    </row>
    <row r="15" spans="1:12" x14ac:dyDescent="0.25">
      <c r="A15" s="1">
        <v>43070</v>
      </c>
      <c r="B15">
        <f>H4</f>
        <v>52</v>
      </c>
      <c r="D15">
        <v>31</v>
      </c>
    </row>
    <row r="16" spans="1:12" x14ac:dyDescent="0.25">
      <c r="A16" s="1">
        <v>43101</v>
      </c>
      <c r="B16">
        <f>H5</f>
        <v>55</v>
      </c>
      <c r="D16">
        <v>31</v>
      </c>
    </row>
    <row r="17" spans="1:4" x14ac:dyDescent="0.25">
      <c r="A17" s="1">
        <v>43132</v>
      </c>
      <c r="B17">
        <f>H5</f>
        <v>55</v>
      </c>
      <c r="D17">
        <v>28</v>
      </c>
    </row>
    <row r="18" spans="1:4" x14ac:dyDescent="0.25">
      <c r="A18" s="1">
        <v>43160</v>
      </c>
      <c r="B18">
        <f>H5</f>
        <v>55</v>
      </c>
      <c r="D18">
        <v>31</v>
      </c>
    </row>
    <row r="19" spans="1:4" x14ac:dyDescent="0.25">
      <c r="A19" s="1">
        <v>43191</v>
      </c>
      <c r="B19">
        <f>H5</f>
        <v>55</v>
      </c>
      <c r="D19">
        <v>30</v>
      </c>
    </row>
    <row r="20" spans="1:4" x14ac:dyDescent="0.25">
      <c r="A20" s="1">
        <v>43221</v>
      </c>
      <c r="B20">
        <f>H5</f>
        <v>55</v>
      </c>
      <c r="D20">
        <v>31</v>
      </c>
    </row>
    <row r="21" spans="1:4" x14ac:dyDescent="0.25">
      <c r="A21" s="1">
        <v>43252</v>
      </c>
      <c r="B21">
        <f>H5</f>
        <v>55</v>
      </c>
      <c r="D21">
        <v>30</v>
      </c>
    </row>
    <row r="22" spans="1:4" x14ac:dyDescent="0.25">
      <c r="A22" s="1">
        <v>43282</v>
      </c>
      <c r="B22">
        <f>H5</f>
        <v>55</v>
      </c>
      <c r="D22">
        <v>31</v>
      </c>
    </row>
    <row r="23" spans="1:4" x14ac:dyDescent="0.25">
      <c r="A23" s="1">
        <v>43313</v>
      </c>
      <c r="B23">
        <f>H5</f>
        <v>55</v>
      </c>
      <c r="D23">
        <v>31</v>
      </c>
    </row>
    <row r="24" spans="1:4" x14ac:dyDescent="0.25">
      <c r="A24" s="1">
        <v>43344</v>
      </c>
      <c r="B24">
        <f>H5</f>
        <v>55</v>
      </c>
      <c r="D24">
        <v>30</v>
      </c>
    </row>
    <row r="25" spans="1:4" x14ac:dyDescent="0.25">
      <c r="A25" s="1">
        <v>43374</v>
      </c>
      <c r="B25">
        <f>H5</f>
        <v>55</v>
      </c>
      <c r="D25">
        <v>31</v>
      </c>
    </row>
    <row r="26" spans="1:4" x14ac:dyDescent="0.25">
      <c r="A26" s="1">
        <v>43405</v>
      </c>
      <c r="B26">
        <f>H5</f>
        <v>55</v>
      </c>
      <c r="D26">
        <v>30</v>
      </c>
    </row>
    <row r="27" spans="1:4" x14ac:dyDescent="0.25">
      <c r="A27" s="1">
        <v>43435</v>
      </c>
      <c r="B27">
        <f>H5</f>
        <v>55</v>
      </c>
      <c r="D27">
        <v>31</v>
      </c>
    </row>
    <row r="28" spans="1:4" x14ac:dyDescent="0.25">
      <c r="A28" s="1">
        <v>43466</v>
      </c>
      <c r="B28">
        <f>$H$6</f>
        <v>60</v>
      </c>
      <c r="D28">
        <v>31</v>
      </c>
    </row>
    <row r="29" spans="1:4" x14ac:dyDescent="0.25">
      <c r="A29" s="1">
        <v>43497</v>
      </c>
      <c r="B29">
        <f>$H$6</f>
        <v>60</v>
      </c>
      <c r="D29">
        <v>28</v>
      </c>
    </row>
    <row r="30" spans="1:4" x14ac:dyDescent="0.25">
      <c r="A30" s="1">
        <v>43525</v>
      </c>
      <c r="B30">
        <f t="shared" ref="B30:B39" si="0">$H$6</f>
        <v>60</v>
      </c>
      <c r="D30">
        <v>31</v>
      </c>
    </row>
    <row r="31" spans="1:4" x14ac:dyDescent="0.25">
      <c r="A31" s="1">
        <v>43556</v>
      </c>
      <c r="B31">
        <f t="shared" si="0"/>
        <v>60</v>
      </c>
      <c r="D31">
        <v>30</v>
      </c>
    </row>
    <row r="32" spans="1:4" x14ac:dyDescent="0.25">
      <c r="A32" s="1">
        <v>43586</v>
      </c>
      <c r="B32">
        <f t="shared" si="0"/>
        <v>60</v>
      </c>
      <c r="D32">
        <v>31</v>
      </c>
    </row>
    <row r="33" spans="1:4" x14ac:dyDescent="0.25">
      <c r="A33" s="1">
        <v>43617</v>
      </c>
      <c r="B33">
        <f t="shared" si="0"/>
        <v>60</v>
      </c>
      <c r="D33">
        <v>30</v>
      </c>
    </row>
    <row r="34" spans="1:4" x14ac:dyDescent="0.25">
      <c r="A34" s="1">
        <v>43647</v>
      </c>
      <c r="B34">
        <f t="shared" si="0"/>
        <v>60</v>
      </c>
      <c r="D34">
        <v>31</v>
      </c>
    </row>
    <row r="35" spans="1:4" x14ac:dyDescent="0.25">
      <c r="A35" s="1">
        <v>43678</v>
      </c>
      <c r="B35">
        <f t="shared" si="0"/>
        <v>60</v>
      </c>
      <c r="D35">
        <v>31</v>
      </c>
    </row>
    <row r="36" spans="1:4" x14ac:dyDescent="0.25">
      <c r="A36" s="1">
        <v>43709</v>
      </c>
      <c r="B36">
        <f t="shared" si="0"/>
        <v>60</v>
      </c>
      <c r="D36">
        <v>30</v>
      </c>
    </row>
    <row r="37" spans="1:4" x14ac:dyDescent="0.25">
      <c r="A37" s="1">
        <v>43739</v>
      </c>
      <c r="B37">
        <f t="shared" si="0"/>
        <v>60</v>
      </c>
      <c r="D37">
        <v>31</v>
      </c>
    </row>
    <row r="38" spans="1:4" x14ac:dyDescent="0.25">
      <c r="A38" s="1">
        <v>43770</v>
      </c>
      <c r="B38">
        <f t="shared" si="0"/>
        <v>60</v>
      </c>
      <c r="D38">
        <v>30</v>
      </c>
    </row>
    <row r="39" spans="1:4" x14ac:dyDescent="0.25">
      <c r="A39" s="1">
        <v>43800</v>
      </c>
      <c r="B39">
        <f t="shared" si="0"/>
        <v>60</v>
      </c>
      <c r="D39">
        <v>31</v>
      </c>
    </row>
    <row r="40" spans="1:4" x14ac:dyDescent="0.25">
      <c r="A40" s="1">
        <v>43831</v>
      </c>
      <c r="B40">
        <f>$H$7</f>
        <v>65</v>
      </c>
      <c r="D40">
        <v>31</v>
      </c>
    </row>
    <row r="41" spans="1:4" x14ac:dyDescent="0.25">
      <c r="A41" s="1">
        <v>43862</v>
      </c>
      <c r="B41">
        <f t="shared" ref="B41:B51" si="1">$H$7</f>
        <v>65</v>
      </c>
      <c r="D41">
        <v>28</v>
      </c>
    </row>
    <row r="42" spans="1:4" x14ac:dyDescent="0.25">
      <c r="A42" s="1">
        <v>43891</v>
      </c>
      <c r="B42">
        <f t="shared" si="1"/>
        <v>65</v>
      </c>
      <c r="D42">
        <v>31</v>
      </c>
    </row>
    <row r="43" spans="1:4" x14ac:dyDescent="0.25">
      <c r="A43" s="1">
        <v>43922</v>
      </c>
      <c r="B43">
        <f t="shared" si="1"/>
        <v>65</v>
      </c>
      <c r="D43">
        <v>30</v>
      </c>
    </row>
    <row r="44" spans="1:4" x14ac:dyDescent="0.25">
      <c r="A44" s="1">
        <v>43952</v>
      </c>
      <c r="B44">
        <f t="shared" si="1"/>
        <v>65</v>
      </c>
      <c r="D44">
        <v>31</v>
      </c>
    </row>
    <row r="45" spans="1:4" x14ac:dyDescent="0.25">
      <c r="A45" s="1">
        <v>43983</v>
      </c>
      <c r="B45">
        <f t="shared" si="1"/>
        <v>65</v>
      </c>
      <c r="D45">
        <v>30</v>
      </c>
    </row>
    <row r="46" spans="1:4" x14ac:dyDescent="0.25">
      <c r="A46" s="1">
        <v>44013</v>
      </c>
      <c r="B46">
        <f t="shared" si="1"/>
        <v>65</v>
      </c>
      <c r="D46">
        <v>31</v>
      </c>
    </row>
    <row r="47" spans="1:4" x14ac:dyDescent="0.25">
      <c r="A47" s="1">
        <v>44044</v>
      </c>
      <c r="B47">
        <f t="shared" si="1"/>
        <v>65</v>
      </c>
      <c r="D47">
        <v>31</v>
      </c>
    </row>
    <row r="48" spans="1:4" x14ac:dyDescent="0.25">
      <c r="A48" s="1">
        <v>44075</v>
      </c>
      <c r="B48">
        <f t="shared" si="1"/>
        <v>65</v>
      </c>
      <c r="D48">
        <v>30</v>
      </c>
    </row>
    <row r="49" spans="1:4" x14ac:dyDescent="0.25">
      <c r="A49" s="1">
        <v>44105</v>
      </c>
      <c r="B49">
        <f t="shared" si="1"/>
        <v>65</v>
      </c>
      <c r="D49">
        <v>31</v>
      </c>
    </row>
    <row r="50" spans="1:4" x14ac:dyDescent="0.25">
      <c r="A50" s="1">
        <v>44136</v>
      </c>
      <c r="B50">
        <f t="shared" si="1"/>
        <v>65</v>
      </c>
      <c r="D50">
        <v>30</v>
      </c>
    </row>
    <row r="51" spans="1:4" x14ac:dyDescent="0.25">
      <c r="A51" s="1">
        <v>44166</v>
      </c>
      <c r="B51">
        <f t="shared" si="1"/>
        <v>65</v>
      </c>
      <c r="D51">
        <v>31</v>
      </c>
    </row>
  </sheetData>
  <hyperlinks>
    <hyperlink ref="A2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workbookViewId="0">
      <pane ySplit="3" topLeftCell="A11" activePane="bottomLeft" state="frozen"/>
      <selection pane="bottomLeft" activeCell="I10" sqref="I10"/>
    </sheetView>
  </sheetViews>
  <sheetFormatPr defaultRowHeight="15" x14ac:dyDescent="0.25"/>
  <cols>
    <col min="2" max="2" width="15.5703125" customWidth="1"/>
    <col min="3" max="3" width="14.5703125" customWidth="1"/>
    <col min="4" max="4" width="22.42578125" customWidth="1"/>
    <col min="5" max="5" width="11.42578125" customWidth="1"/>
    <col min="6" max="6" width="8" customWidth="1"/>
    <col min="7" max="7" width="11.140625" style="10" customWidth="1"/>
    <col min="8" max="8" width="11.28515625" customWidth="1"/>
    <col min="9" max="9" width="6" customWidth="1"/>
    <col min="10" max="10" width="14.5703125" customWidth="1"/>
    <col min="12" max="12" width="21.85546875" customWidth="1"/>
    <col min="13" max="13" width="11.7109375" customWidth="1"/>
    <col min="14" max="14" width="11.140625" customWidth="1"/>
    <col min="15" max="15" width="9.7109375" style="10" customWidth="1"/>
    <col min="16" max="16" width="7.7109375" customWidth="1"/>
    <col min="17" max="17" width="10.85546875" customWidth="1"/>
  </cols>
  <sheetData>
    <row r="1" spans="1:17" x14ac:dyDescent="0.25">
      <c r="A1" s="6" t="s">
        <v>14</v>
      </c>
      <c r="B1" t="s">
        <v>16</v>
      </c>
      <c r="C1" s="4">
        <v>1.6E-2</v>
      </c>
      <c r="D1" s="7" t="s">
        <v>21</v>
      </c>
      <c r="E1" s="5" t="s">
        <v>19</v>
      </c>
      <c r="F1" s="5" t="s">
        <v>20</v>
      </c>
      <c r="I1" s="6" t="s">
        <v>17</v>
      </c>
      <c r="J1" t="s">
        <v>16</v>
      </c>
      <c r="K1" s="4">
        <v>0.01</v>
      </c>
      <c r="L1" s="5" t="s">
        <v>21</v>
      </c>
      <c r="M1" s="5" t="s">
        <v>22</v>
      </c>
      <c r="N1" s="5" t="s">
        <v>23</v>
      </c>
    </row>
    <row r="2" spans="1:17" x14ac:dyDescent="0.25">
      <c r="C2" s="5"/>
      <c r="D2" s="5"/>
      <c r="E2" s="9">
        <v>5000</v>
      </c>
      <c r="F2" s="9">
        <v>1500</v>
      </c>
      <c r="K2" s="5"/>
      <c r="L2" s="5"/>
      <c r="M2" s="9">
        <v>3000</v>
      </c>
      <c r="N2" s="9">
        <v>3000</v>
      </c>
    </row>
    <row r="3" spans="1:17" s="13" customFormat="1" x14ac:dyDescent="0.25">
      <c r="A3" s="13" t="s">
        <v>10</v>
      </c>
      <c r="B3" s="13" t="s">
        <v>11</v>
      </c>
      <c r="C3" s="13" t="s">
        <v>25</v>
      </c>
      <c r="D3" s="13" t="s">
        <v>18</v>
      </c>
      <c r="G3" s="14" t="s">
        <v>13</v>
      </c>
      <c r="H3" s="13" t="s">
        <v>15</v>
      </c>
      <c r="J3" s="13" t="s">
        <v>11</v>
      </c>
      <c r="K3" s="13" t="s">
        <v>12</v>
      </c>
      <c r="L3" s="13" t="s">
        <v>18</v>
      </c>
      <c r="O3" s="14" t="s">
        <v>13</v>
      </c>
      <c r="P3" s="13" t="s">
        <v>15</v>
      </c>
      <c r="Q3" s="15" t="s">
        <v>31</v>
      </c>
    </row>
    <row r="5" spans="1:17" x14ac:dyDescent="0.25">
      <c r="A5" s="1">
        <v>42736</v>
      </c>
      <c r="B5">
        <v>109546</v>
      </c>
      <c r="C5" s="8">
        <f>B5-(B5*$C$1)</f>
        <v>107793.264</v>
      </c>
      <c r="D5" t="s">
        <v>24</v>
      </c>
      <c r="E5">
        <v>0</v>
      </c>
      <c r="F5">
        <v>0</v>
      </c>
      <c r="G5" s="11">
        <f>C5+(E5*$E$2)+(F5*$F$2)</f>
        <v>107793.264</v>
      </c>
      <c r="H5" s="2">
        <v>112537</v>
      </c>
      <c r="J5">
        <v>0</v>
      </c>
      <c r="K5" s="8">
        <f>J5-(J5*$K$1)</f>
        <v>0</v>
      </c>
      <c r="O5" s="11">
        <f>K5+(M5*$M$2)+(N5*$N$2)</f>
        <v>0</v>
      </c>
      <c r="P5">
        <v>0</v>
      </c>
      <c r="Q5" s="8">
        <f>IF(H5=0,G5+O5,H5+P5)</f>
        <v>112537</v>
      </c>
    </row>
    <row r="6" spans="1:17" x14ac:dyDescent="0.25">
      <c r="A6" s="1">
        <v>42767</v>
      </c>
      <c r="B6" s="8">
        <f>IF(H5=0,G5,H5)</f>
        <v>112537</v>
      </c>
      <c r="C6" s="8">
        <f t="shared" ref="C6:C52" si="0">B6-(B6*$C$1)</f>
        <v>110736.408</v>
      </c>
      <c r="D6" t="s">
        <v>24</v>
      </c>
      <c r="E6">
        <v>0</v>
      </c>
      <c r="F6">
        <v>0</v>
      </c>
      <c r="G6" s="11">
        <f t="shared" ref="G6:G28" si="1">C6+(E6*$E$2)+(F6*$F$2)</f>
        <v>110736.408</v>
      </c>
      <c r="H6" s="2">
        <v>110641</v>
      </c>
      <c r="J6" s="8">
        <f>IF(P5=0,O5,P5)</f>
        <v>0</v>
      </c>
      <c r="K6" s="8">
        <f t="shared" ref="K6:K52" si="2">J6-(J6*$K$1)</f>
        <v>0</v>
      </c>
      <c r="O6" s="11">
        <f t="shared" ref="O6:O28" si="3">K6+(M6*$M$2)+(N6*$N$2)</f>
        <v>0</v>
      </c>
      <c r="Q6" s="8">
        <f t="shared" ref="Q6:Q28" si="4">IF(H6=0,G6+O6,H6+P6)</f>
        <v>110641</v>
      </c>
    </row>
    <row r="7" spans="1:17" x14ac:dyDescent="0.25">
      <c r="A7" s="1">
        <v>42795</v>
      </c>
      <c r="B7" s="8">
        <f t="shared" ref="B7:B28" si="5">IF(H6=0,G6,H6)</f>
        <v>110641</v>
      </c>
      <c r="C7" s="8">
        <f t="shared" si="0"/>
        <v>108870.74400000001</v>
      </c>
      <c r="D7" t="s">
        <v>24</v>
      </c>
      <c r="E7">
        <v>0</v>
      </c>
      <c r="F7">
        <v>0</v>
      </c>
      <c r="G7" s="11">
        <f t="shared" si="1"/>
        <v>108870.74400000001</v>
      </c>
      <c r="H7" s="2">
        <v>108513</v>
      </c>
      <c r="J7" s="8">
        <f t="shared" ref="J7:J28" si="6">IF(P6=0,O6,P6)</f>
        <v>0</v>
      </c>
      <c r="K7" s="8">
        <f t="shared" si="2"/>
        <v>0</v>
      </c>
      <c r="O7" s="11">
        <f t="shared" si="3"/>
        <v>0</v>
      </c>
      <c r="Q7" s="8">
        <f t="shared" si="4"/>
        <v>108513</v>
      </c>
    </row>
    <row r="8" spans="1:17" x14ac:dyDescent="0.25">
      <c r="A8" s="1">
        <v>42826</v>
      </c>
      <c r="B8" s="8">
        <f t="shared" si="5"/>
        <v>108513</v>
      </c>
      <c r="C8" s="8">
        <f t="shared" si="0"/>
        <v>106776.792</v>
      </c>
      <c r="D8" t="s">
        <v>24</v>
      </c>
      <c r="E8">
        <v>0</v>
      </c>
      <c r="F8">
        <v>0</v>
      </c>
      <c r="G8" s="11">
        <f t="shared" si="1"/>
        <v>106776.792</v>
      </c>
      <c r="H8" s="2">
        <v>108519</v>
      </c>
      <c r="J8" s="8">
        <f t="shared" si="6"/>
        <v>0</v>
      </c>
      <c r="K8" s="8">
        <f t="shared" si="2"/>
        <v>0</v>
      </c>
      <c r="O8" s="11">
        <f t="shared" si="3"/>
        <v>0</v>
      </c>
      <c r="Q8" s="8">
        <f t="shared" si="4"/>
        <v>108519</v>
      </c>
    </row>
    <row r="9" spans="1:17" x14ac:dyDescent="0.25">
      <c r="A9" s="1">
        <v>42856</v>
      </c>
      <c r="B9" s="8">
        <f t="shared" si="5"/>
        <v>108519</v>
      </c>
      <c r="C9" s="8">
        <f t="shared" si="0"/>
        <v>106782.696</v>
      </c>
      <c r="D9" t="s">
        <v>26</v>
      </c>
      <c r="E9">
        <v>1</v>
      </c>
      <c r="F9">
        <v>0</v>
      </c>
      <c r="G9" s="11">
        <f t="shared" si="1"/>
        <v>111782.696</v>
      </c>
      <c r="H9" s="2">
        <f>IF(Estimat!G8=0,0,Estimat!G8/0.05/Oljepris!D8/(Oljepris!B8-12))</f>
        <v>107554.93465069894</v>
      </c>
      <c r="J9" s="8">
        <f t="shared" si="6"/>
        <v>0</v>
      </c>
      <c r="K9" s="8">
        <f t="shared" si="2"/>
        <v>0</v>
      </c>
      <c r="O9" s="11">
        <f t="shared" si="3"/>
        <v>0</v>
      </c>
      <c r="Q9" s="8">
        <f t="shared" si="4"/>
        <v>107554.93465069894</v>
      </c>
    </row>
    <row r="10" spans="1:17" x14ac:dyDescent="0.25">
      <c r="A10" s="1">
        <v>42887</v>
      </c>
      <c r="B10" s="8">
        <f t="shared" si="5"/>
        <v>107554.93465069894</v>
      </c>
      <c r="C10" s="8">
        <f t="shared" si="0"/>
        <v>105834.05569628776</v>
      </c>
      <c r="D10" t="s">
        <v>27</v>
      </c>
      <c r="E10">
        <v>0</v>
      </c>
      <c r="F10">
        <v>2</v>
      </c>
      <c r="G10" s="11">
        <f t="shared" si="1"/>
        <v>108834.05569628776</v>
      </c>
      <c r="H10" s="2">
        <f>IF(Estimat!G9=0,0,Estimat!G9/0.05/Oljepris!D9/(Oljepris!B9-12))</f>
        <v>0</v>
      </c>
      <c r="J10" s="8">
        <f t="shared" si="6"/>
        <v>0</v>
      </c>
      <c r="K10" s="8">
        <f t="shared" si="2"/>
        <v>0</v>
      </c>
      <c r="O10" s="11">
        <f t="shared" si="3"/>
        <v>0</v>
      </c>
      <c r="Q10" s="8">
        <f t="shared" si="4"/>
        <v>108834.05569628776</v>
      </c>
    </row>
    <row r="11" spans="1:17" x14ac:dyDescent="0.25">
      <c r="A11" s="1">
        <v>42917</v>
      </c>
      <c r="B11" s="8">
        <f t="shared" si="5"/>
        <v>108834.05569628776</v>
      </c>
      <c r="C11" s="8">
        <f t="shared" si="0"/>
        <v>107092.71080514716</v>
      </c>
      <c r="D11" t="s">
        <v>28</v>
      </c>
      <c r="E11">
        <v>1</v>
      </c>
      <c r="F11">
        <v>0</v>
      </c>
      <c r="G11" s="11">
        <f t="shared" si="1"/>
        <v>112092.71080514716</v>
      </c>
      <c r="H11" s="2">
        <f>IF(Estimat!G10=0,0,Estimat!G10/0.05/Oljepris!D10/(Oljepris!B10-12))</f>
        <v>0</v>
      </c>
      <c r="J11" s="8">
        <f t="shared" si="6"/>
        <v>0</v>
      </c>
      <c r="K11" s="8">
        <f t="shared" si="2"/>
        <v>0</v>
      </c>
      <c r="O11" s="11">
        <f t="shared" si="3"/>
        <v>0</v>
      </c>
      <c r="Q11" s="8">
        <f t="shared" si="4"/>
        <v>112092.71080514716</v>
      </c>
    </row>
    <row r="12" spans="1:17" x14ac:dyDescent="0.25">
      <c r="A12" s="1">
        <v>42948</v>
      </c>
      <c r="B12" s="8">
        <f t="shared" si="5"/>
        <v>112092.71080514716</v>
      </c>
      <c r="C12" s="8">
        <f t="shared" si="0"/>
        <v>110299.2274322648</v>
      </c>
      <c r="D12" t="s">
        <v>29</v>
      </c>
      <c r="E12">
        <v>1</v>
      </c>
      <c r="F12">
        <v>0</v>
      </c>
      <c r="G12" s="11">
        <f t="shared" si="1"/>
        <v>115299.2274322648</v>
      </c>
      <c r="H12" s="2">
        <f>IF(Estimat!G11=0,0,Estimat!G11/0.03/Oljepris!D11/(Oljepris!B11-12))</f>
        <v>0</v>
      </c>
      <c r="J12" s="8">
        <f t="shared" si="6"/>
        <v>0</v>
      </c>
      <c r="K12" s="8">
        <f t="shared" si="2"/>
        <v>0</v>
      </c>
      <c r="O12" s="11">
        <f t="shared" si="3"/>
        <v>0</v>
      </c>
      <c r="Q12" s="8">
        <f t="shared" si="4"/>
        <v>115299.2274322648</v>
      </c>
    </row>
    <row r="13" spans="1:17" x14ac:dyDescent="0.25">
      <c r="A13" s="1">
        <v>42979</v>
      </c>
      <c r="B13" s="8">
        <f t="shared" si="5"/>
        <v>115299.2274322648</v>
      </c>
      <c r="C13" s="8">
        <f t="shared" si="0"/>
        <v>113454.43979334856</v>
      </c>
      <c r="D13" t="s">
        <v>24</v>
      </c>
      <c r="E13">
        <v>0</v>
      </c>
      <c r="F13">
        <v>0</v>
      </c>
      <c r="G13" s="11">
        <f t="shared" si="1"/>
        <v>113454.43979334856</v>
      </c>
      <c r="H13" s="2">
        <f>IF(Estimat!G12=0,0,Estimat!G12/0.03/Oljepris!D12/(Oljepris!B12-12))</f>
        <v>0</v>
      </c>
      <c r="J13" s="8">
        <f t="shared" si="6"/>
        <v>0</v>
      </c>
      <c r="K13" s="8">
        <f t="shared" si="2"/>
        <v>0</v>
      </c>
      <c r="O13" s="11">
        <f t="shared" si="3"/>
        <v>0</v>
      </c>
      <c r="Q13" s="8">
        <f t="shared" si="4"/>
        <v>113454.43979334856</v>
      </c>
    </row>
    <row r="14" spans="1:17" x14ac:dyDescent="0.25">
      <c r="A14" s="1">
        <v>43009</v>
      </c>
      <c r="B14" s="8">
        <f t="shared" si="5"/>
        <v>113454.43979334856</v>
      </c>
      <c r="C14" s="8">
        <f t="shared" si="0"/>
        <v>111639.16875665498</v>
      </c>
      <c r="D14" t="s">
        <v>61</v>
      </c>
      <c r="E14">
        <v>1</v>
      </c>
      <c r="F14">
        <v>1</v>
      </c>
      <c r="G14" s="11">
        <f t="shared" si="1"/>
        <v>118139.16875665498</v>
      </c>
      <c r="H14" s="2">
        <f>IF(Estimat!G13=0,0,Estimat!G13/0.03/Oljepris!D13/(Oljepris!B13-12))</f>
        <v>0</v>
      </c>
      <c r="J14" s="8">
        <f t="shared" si="6"/>
        <v>0</v>
      </c>
      <c r="K14" s="8">
        <f t="shared" si="2"/>
        <v>0</v>
      </c>
      <c r="O14" s="11">
        <f t="shared" si="3"/>
        <v>0</v>
      </c>
      <c r="Q14" s="8">
        <f t="shared" si="4"/>
        <v>118139.16875665498</v>
      </c>
    </row>
    <row r="15" spans="1:17" x14ac:dyDescent="0.25">
      <c r="A15" s="1">
        <v>43040</v>
      </c>
      <c r="B15" s="8">
        <f t="shared" si="5"/>
        <v>118139.16875665498</v>
      </c>
      <c r="C15" s="8">
        <f t="shared" si="0"/>
        <v>116248.94205654851</v>
      </c>
      <c r="D15" t="s">
        <v>62</v>
      </c>
      <c r="E15">
        <v>1</v>
      </c>
      <c r="F15">
        <v>1</v>
      </c>
      <c r="G15" s="11">
        <f t="shared" si="1"/>
        <v>122748.94205654851</v>
      </c>
      <c r="H15" s="2">
        <f>IF(Estimat!G14=0,0,Estimat!G14/0.03/Oljepris!D14/(Oljepris!B14-12))</f>
        <v>0</v>
      </c>
      <c r="J15" s="8">
        <f t="shared" si="6"/>
        <v>0</v>
      </c>
      <c r="K15" s="8">
        <f t="shared" si="2"/>
        <v>0</v>
      </c>
      <c r="O15" s="11">
        <f t="shared" si="3"/>
        <v>0</v>
      </c>
      <c r="Q15" s="8">
        <f t="shared" si="4"/>
        <v>122748.94205654851</v>
      </c>
    </row>
    <row r="16" spans="1:17" x14ac:dyDescent="0.25">
      <c r="A16" s="1">
        <v>43070</v>
      </c>
      <c r="B16" s="8">
        <f t="shared" si="5"/>
        <v>122748.94205654851</v>
      </c>
      <c r="C16" s="8">
        <f t="shared" si="0"/>
        <v>120784.95898364372</v>
      </c>
      <c r="D16" t="s">
        <v>30</v>
      </c>
      <c r="E16">
        <v>1</v>
      </c>
      <c r="F16">
        <v>0</v>
      </c>
      <c r="G16" s="11">
        <f t="shared" si="1"/>
        <v>125784.95898364372</v>
      </c>
      <c r="H16" s="2">
        <f>IF(Estimat!G15=0,0,Estimat!G15/0.03/Oljepris!D15/(Oljepris!B15-12))</f>
        <v>0</v>
      </c>
      <c r="J16" s="8">
        <f t="shared" si="6"/>
        <v>0</v>
      </c>
      <c r="K16" s="8">
        <f t="shared" si="2"/>
        <v>0</v>
      </c>
      <c r="O16" s="11">
        <f t="shared" si="3"/>
        <v>0</v>
      </c>
      <c r="Q16" s="8">
        <f t="shared" si="4"/>
        <v>125784.95898364372</v>
      </c>
    </row>
    <row r="17" spans="1:17" x14ac:dyDescent="0.25">
      <c r="A17" s="1">
        <v>43101</v>
      </c>
      <c r="B17" s="8">
        <f t="shared" si="5"/>
        <v>125784.95898364372</v>
      </c>
      <c r="C17" s="8">
        <f t="shared" si="0"/>
        <v>123772.39963990543</v>
      </c>
      <c r="D17" t="s">
        <v>24</v>
      </c>
      <c r="E17">
        <v>0</v>
      </c>
      <c r="F17">
        <v>0</v>
      </c>
      <c r="G17" s="11">
        <f t="shared" si="1"/>
        <v>123772.39963990543</v>
      </c>
      <c r="H17" s="2">
        <f>IF(Estimat!G16=0,0,Estimat!G16/0.03/Oljepris!D16/(Oljepris!B16-12))</f>
        <v>0</v>
      </c>
      <c r="J17" s="8">
        <f t="shared" si="6"/>
        <v>0</v>
      </c>
      <c r="K17" s="8">
        <f t="shared" si="2"/>
        <v>0</v>
      </c>
      <c r="O17" s="11">
        <f t="shared" si="3"/>
        <v>0</v>
      </c>
      <c r="Q17" s="8">
        <f t="shared" si="4"/>
        <v>123772.39963990543</v>
      </c>
    </row>
    <row r="18" spans="1:17" x14ac:dyDescent="0.25">
      <c r="A18" s="1">
        <v>43132</v>
      </c>
      <c r="B18" s="8">
        <f t="shared" si="5"/>
        <v>123772.39963990543</v>
      </c>
      <c r="C18" s="8">
        <f t="shared" si="0"/>
        <v>121792.04124566694</v>
      </c>
      <c r="D18" t="s">
        <v>63</v>
      </c>
      <c r="E18">
        <v>1</v>
      </c>
      <c r="F18">
        <v>1</v>
      </c>
      <c r="G18" s="11">
        <f t="shared" si="1"/>
        <v>128292.04124566694</v>
      </c>
      <c r="H18" s="2">
        <f>IF(Estimat!G17=0,0,Estimat!G17/0.03/Oljepris!D17/(Oljepris!B17-12))</f>
        <v>0</v>
      </c>
      <c r="J18" s="8">
        <f t="shared" si="6"/>
        <v>0</v>
      </c>
      <c r="K18" s="8">
        <f t="shared" si="2"/>
        <v>0</v>
      </c>
      <c r="L18" t="s">
        <v>32</v>
      </c>
      <c r="M18">
        <v>1</v>
      </c>
      <c r="O18" s="11">
        <f t="shared" si="3"/>
        <v>3000</v>
      </c>
      <c r="Q18" s="8">
        <f t="shared" si="4"/>
        <v>131292.04124566694</v>
      </c>
    </row>
    <row r="19" spans="1:17" x14ac:dyDescent="0.25">
      <c r="A19" s="1">
        <v>43160</v>
      </c>
      <c r="B19" s="8">
        <f t="shared" si="5"/>
        <v>128292.04124566694</v>
      </c>
      <c r="C19" s="8">
        <f t="shared" si="0"/>
        <v>126239.36858573627</v>
      </c>
      <c r="D19" t="s">
        <v>33</v>
      </c>
      <c r="F19">
        <v>1</v>
      </c>
      <c r="G19" s="11">
        <f t="shared" si="1"/>
        <v>127739.36858573627</v>
      </c>
      <c r="H19" s="2">
        <f>IF(Estimat!G18=0,0,Estimat!G18/0.03/Oljepris!D18/(Oljepris!B18-12))</f>
        <v>0</v>
      </c>
      <c r="J19" s="8">
        <f t="shared" si="6"/>
        <v>3000</v>
      </c>
      <c r="K19" s="8">
        <f t="shared" si="2"/>
        <v>2970</v>
      </c>
      <c r="O19" s="11">
        <f t="shared" si="3"/>
        <v>2970</v>
      </c>
      <c r="Q19" s="8">
        <f t="shared" si="4"/>
        <v>130709.36858573627</v>
      </c>
    </row>
    <row r="20" spans="1:17" x14ac:dyDescent="0.25">
      <c r="A20" s="1">
        <v>43191</v>
      </c>
      <c r="B20" s="8">
        <f t="shared" si="5"/>
        <v>127739.36858573627</v>
      </c>
      <c r="C20" s="8">
        <f t="shared" si="0"/>
        <v>125695.5386883645</v>
      </c>
      <c r="D20" t="s">
        <v>35</v>
      </c>
      <c r="E20">
        <v>1</v>
      </c>
      <c r="F20">
        <v>1</v>
      </c>
      <c r="G20" s="11">
        <f t="shared" si="1"/>
        <v>132195.5386883645</v>
      </c>
      <c r="H20" s="2">
        <f>IF(Estimat!G19=0,0,Estimat!G19/0.03/Oljepris!D19/(Oljepris!B19-12))</f>
        <v>0</v>
      </c>
      <c r="J20" s="8">
        <f t="shared" si="6"/>
        <v>2970</v>
      </c>
      <c r="K20" s="8">
        <f t="shared" si="2"/>
        <v>2940.3</v>
      </c>
      <c r="O20" s="11">
        <f t="shared" si="3"/>
        <v>2940.3</v>
      </c>
      <c r="Q20" s="8">
        <f t="shared" si="4"/>
        <v>135135.83868836449</v>
      </c>
    </row>
    <row r="21" spans="1:17" x14ac:dyDescent="0.25">
      <c r="A21" s="1">
        <v>43221</v>
      </c>
      <c r="B21" s="8">
        <f t="shared" si="5"/>
        <v>132195.5386883645</v>
      </c>
      <c r="C21" s="8">
        <f t="shared" si="0"/>
        <v>130080.41006935066</v>
      </c>
      <c r="D21" t="s">
        <v>33</v>
      </c>
      <c r="F21">
        <v>1</v>
      </c>
      <c r="G21" s="11">
        <f t="shared" si="1"/>
        <v>131580.41006935068</v>
      </c>
      <c r="H21" s="2">
        <f>IF(Estimat!G20=0,0,Estimat!G20/0.03/Oljepris!D20/(Oljepris!B20-12))</f>
        <v>0</v>
      </c>
      <c r="J21" s="8">
        <f t="shared" si="6"/>
        <v>2940.3</v>
      </c>
      <c r="K21" s="8">
        <f t="shared" si="2"/>
        <v>2910.8970000000004</v>
      </c>
      <c r="O21" s="11">
        <f t="shared" si="3"/>
        <v>2910.8970000000004</v>
      </c>
      <c r="Q21" s="8">
        <f t="shared" si="4"/>
        <v>134491.30706935067</v>
      </c>
    </row>
    <row r="22" spans="1:17" x14ac:dyDescent="0.25">
      <c r="A22" s="1">
        <v>43252</v>
      </c>
      <c r="B22" s="8">
        <f t="shared" si="5"/>
        <v>131580.41006935068</v>
      </c>
      <c r="C22" s="8">
        <f t="shared" si="0"/>
        <v>129475.12350824107</v>
      </c>
      <c r="D22" t="s">
        <v>33</v>
      </c>
      <c r="F22">
        <v>1</v>
      </c>
      <c r="G22" s="11">
        <f t="shared" si="1"/>
        <v>130975.12350824107</v>
      </c>
      <c r="H22" s="2">
        <f>IF(Estimat!G21=0,0,Estimat!G21/0.03/Oljepris!D21/(Oljepris!B21-12))</f>
        <v>0</v>
      </c>
      <c r="J22" s="8">
        <f t="shared" si="6"/>
        <v>2910.8970000000004</v>
      </c>
      <c r="K22" s="8">
        <f t="shared" si="2"/>
        <v>2881.7880300000002</v>
      </c>
      <c r="O22" s="11">
        <f t="shared" si="3"/>
        <v>2881.7880300000002</v>
      </c>
      <c r="Q22" s="8">
        <f t="shared" si="4"/>
        <v>133856.91153824108</v>
      </c>
    </row>
    <row r="23" spans="1:17" x14ac:dyDescent="0.25">
      <c r="A23" s="1">
        <v>43282</v>
      </c>
      <c r="B23" s="8">
        <f t="shared" si="5"/>
        <v>130975.12350824107</v>
      </c>
      <c r="C23" s="8">
        <f t="shared" si="0"/>
        <v>128879.52153210921</v>
      </c>
      <c r="D23" t="s">
        <v>33</v>
      </c>
      <c r="F23">
        <v>1</v>
      </c>
      <c r="G23" s="11">
        <f t="shared" si="1"/>
        <v>130379.52153210921</v>
      </c>
      <c r="H23" s="2">
        <f>IF(Estimat!G22=0,0,Estimat!G22/0.03/Oljepris!D22/(Oljepris!B22-12))</f>
        <v>0</v>
      </c>
      <c r="J23" s="8">
        <f t="shared" si="6"/>
        <v>2881.7880300000002</v>
      </c>
      <c r="K23" s="8">
        <f t="shared" si="2"/>
        <v>2852.9701497000001</v>
      </c>
      <c r="L23" t="s">
        <v>34</v>
      </c>
      <c r="M23">
        <v>1</v>
      </c>
      <c r="O23" s="11">
        <f t="shared" si="3"/>
        <v>5852.9701497000005</v>
      </c>
      <c r="Q23" s="8">
        <f t="shared" si="4"/>
        <v>136232.49168180922</v>
      </c>
    </row>
    <row r="24" spans="1:17" x14ac:dyDescent="0.25">
      <c r="A24" s="1">
        <v>43313</v>
      </c>
      <c r="B24" s="8">
        <f t="shared" si="5"/>
        <v>130379.52153210921</v>
      </c>
      <c r="C24" s="8">
        <f t="shared" si="0"/>
        <v>128293.44918759547</v>
      </c>
      <c r="D24" t="s">
        <v>36</v>
      </c>
      <c r="E24">
        <v>1</v>
      </c>
      <c r="F24">
        <v>1</v>
      </c>
      <c r="G24" s="11">
        <f t="shared" si="1"/>
        <v>134793.44918759546</v>
      </c>
      <c r="H24" s="2">
        <f>IF(Estimat!G23=0,0,Estimat!G23/0.03/Oljepris!D23/(Oljepris!B23-12))</f>
        <v>0</v>
      </c>
      <c r="J24" s="8">
        <f t="shared" si="6"/>
        <v>5852.9701497000005</v>
      </c>
      <c r="K24" s="8">
        <f t="shared" si="2"/>
        <v>5794.4404482030004</v>
      </c>
      <c r="O24" s="11">
        <f t="shared" si="3"/>
        <v>5794.4404482030004</v>
      </c>
      <c r="Q24" s="8">
        <f t="shared" si="4"/>
        <v>140587.88963579846</v>
      </c>
    </row>
    <row r="25" spans="1:17" x14ac:dyDescent="0.25">
      <c r="A25" s="1">
        <v>43344</v>
      </c>
      <c r="B25" s="8">
        <f t="shared" si="5"/>
        <v>134793.44918759546</v>
      </c>
      <c r="C25" s="8">
        <f t="shared" si="0"/>
        <v>132636.75400059394</v>
      </c>
      <c r="D25" t="s">
        <v>33</v>
      </c>
      <c r="F25">
        <v>1</v>
      </c>
      <c r="G25" s="11">
        <f t="shared" si="1"/>
        <v>134136.75400059394</v>
      </c>
      <c r="H25" s="2">
        <f>IF(Estimat!G24=0,0,Estimat!G24/0.03/Oljepris!D24/(Oljepris!B24-12))</f>
        <v>0</v>
      </c>
      <c r="J25" s="8">
        <f t="shared" si="6"/>
        <v>5794.4404482030004</v>
      </c>
      <c r="K25" s="8">
        <f t="shared" si="2"/>
        <v>5736.4960437209702</v>
      </c>
      <c r="O25" s="11">
        <f t="shared" si="3"/>
        <v>5736.4960437209702</v>
      </c>
      <c r="Q25" s="8">
        <f t="shared" si="4"/>
        <v>139873.25004431492</v>
      </c>
    </row>
    <row r="26" spans="1:17" x14ac:dyDescent="0.25">
      <c r="A26" s="1">
        <v>43374</v>
      </c>
      <c r="B26" s="8">
        <f t="shared" si="5"/>
        <v>134136.75400059394</v>
      </c>
      <c r="C26" s="8">
        <f t="shared" si="0"/>
        <v>131990.56593658443</v>
      </c>
      <c r="D26" t="s">
        <v>33</v>
      </c>
      <c r="F26">
        <v>1</v>
      </c>
      <c r="G26" s="11">
        <f t="shared" si="1"/>
        <v>133490.56593658443</v>
      </c>
      <c r="H26" s="2">
        <f>IF(Estimat!G25=0,0,Estimat!G25/0.03/Oljepris!D25/(Oljepris!B25-12))</f>
        <v>0</v>
      </c>
      <c r="J26" s="8">
        <f t="shared" si="6"/>
        <v>5736.4960437209702</v>
      </c>
      <c r="K26" s="8">
        <f t="shared" si="2"/>
        <v>5679.1310832837607</v>
      </c>
      <c r="O26" s="11">
        <f t="shared" si="3"/>
        <v>5679.1310832837607</v>
      </c>
      <c r="Q26" s="8">
        <f t="shared" si="4"/>
        <v>139169.69701986818</v>
      </c>
    </row>
    <row r="27" spans="1:17" x14ac:dyDescent="0.25">
      <c r="A27" s="1">
        <v>43405</v>
      </c>
      <c r="B27" s="8">
        <f t="shared" si="5"/>
        <v>133490.56593658443</v>
      </c>
      <c r="C27" s="8">
        <f t="shared" si="0"/>
        <v>131354.71688159907</v>
      </c>
      <c r="D27" t="s">
        <v>33</v>
      </c>
      <c r="F27">
        <v>1</v>
      </c>
      <c r="G27" s="11">
        <f t="shared" si="1"/>
        <v>132854.71688159907</v>
      </c>
      <c r="H27" s="2">
        <f>IF(Estimat!G26=0,0,Estimat!G26/0.03/Oljepris!D26/(Oljepris!B26-12))</f>
        <v>0</v>
      </c>
      <c r="J27" s="8">
        <f t="shared" si="6"/>
        <v>5679.1310832837607</v>
      </c>
      <c r="K27" s="8">
        <f t="shared" si="2"/>
        <v>5622.3397724509232</v>
      </c>
      <c r="O27" s="11">
        <f t="shared" si="3"/>
        <v>5622.3397724509232</v>
      </c>
      <c r="Q27" s="8">
        <f t="shared" si="4"/>
        <v>138477.05665404999</v>
      </c>
    </row>
    <row r="28" spans="1:17" x14ac:dyDescent="0.25">
      <c r="A28" s="1">
        <v>43435</v>
      </c>
      <c r="B28" s="8">
        <f t="shared" si="5"/>
        <v>132854.71688159907</v>
      </c>
      <c r="C28" s="8">
        <f t="shared" si="0"/>
        <v>130729.04141149348</v>
      </c>
      <c r="D28" t="s">
        <v>37</v>
      </c>
      <c r="E28">
        <v>1</v>
      </c>
      <c r="F28">
        <v>1</v>
      </c>
      <c r="G28" s="11">
        <f t="shared" si="1"/>
        <v>137229.0414114935</v>
      </c>
      <c r="H28" s="2">
        <f>IF(Estimat!G27=0,0,Estimat!G27/0.03/Oljepris!D27/(Oljepris!B27-12))</f>
        <v>0</v>
      </c>
      <c r="J28" s="8">
        <f t="shared" si="6"/>
        <v>5622.3397724509232</v>
      </c>
      <c r="K28" s="8">
        <f t="shared" si="2"/>
        <v>5566.1163747264136</v>
      </c>
      <c r="L28" t="s">
        <v>34</v>
      </c>
      <c r="M28">
        <v>1</v>
      </c>
      <c r="O28" s="11">
        <f t="shared" si="3"/>
        <v>8566.1163747264145</v>
      </c>
      <c r="Q28" s="8">
        <f t="shared" si="4"/>
        <v>145795.1577862199</v>
      </c>
    </row>
    <row r="29" spans="1:17" x14ac:dyDescent="0.25">
      <c r="A29" s="1">
        <v>43466</v>
      </c>
      <c r="B29" s="8">
        <f t="shared" ref="B29:B52" si="7">IF(H28=0,G28,H28)</f>
        <v>137229.0414114935</v>
      </c>
      <c r="C29" s="8">
        <f t="shared" si="0"/>
        <v>135033.37674890959</v>
      </c>
      <c r="D29" t="s">
        <v>33</v>
      </c>
      <c r="F29">
        <v>1</v>
      </c>
      <c r="G29" s="11">
        <f t="shared" ref="G29:G52" si="8">C29+(E29*$E$2)+(F29*$F$2)</f>
        <v>136533.37674890959</v>
      </c>
      <c r="H29" s="2">
        <f>IF(Estimat!G28=0,0,Estimat!G28/0.03/Oljepris!D28/(Oljepris!B28-12))</f>
        <v>0</v>
      </c>
      <c r="J29" s="8">
        <f t="shared" ref="J29:J52" si="9">IF(P28=0,O28,P28)</f>
        <v>8566.1163747264145</v>
      </c>
      <c r="K29" s="8">
        <f t="shared" si="2"/>
        <v>8480.4552109791512</v>
      </c>
      <c r="O29" s="11">
        <f t="shared" ref="O29:O52" si="10">K29+(M29*$M$2)+(N29*$N$2)</f>
        <v>8480.4552109791512</v>
      </c>
      <c r="Q29" s="8">
        <f t="shared" ref="Q29:Q52" si="11">IF(H29=0,G29+O29,H29+P29)</f>
        <v>145013.83195988875</v>
      </c>
    </row>
    <row r="30" spans="1:17" x14ac:dyDescent="0.25">
      <c r="A30" s="1">
        <v>43497</v>
      </c>
      <c r="B30" s="8">
        <f t="shared" si="7"/>
        <v>136533.37674890959</v>
      </c>
      <c r="C30" s="8">
        <f t="shared" si="0"/>
        <v>134348.84272092703</v>
      </c>
      <c r="D30" t="s">
        <v>33</v>
      </c>
      <c r="F30">
        <v>1</v>
      </c>
      <c r="G30" s="11">
        <f t="shared" si="8"/>
        <v>135848.84272092703</v>
      </c>
      <c r="H30" s="2">
        <f>IF(Estimat!G29=0,0,Estimat!G29/0.03/Oljepris!D29/(Oljepris!B29-12))</f>
        <v>0</v>
      </c>
      <c r="J30" s="8">
        <f t="shared" si="9"/>
        <v>8480.4552109791512</v>
      </c>
      <c r="K30" s="8">
        <f t="shared" si="2"/>
        <v>8395.6506588693592</v>
      </c>
      <c r="O30" s="11">
        <f t="shared" si="10"/>
        <v>8395.6506588693592</v>
      </c>
      <c r="Q30" s="8">
        <f t="shared" si="11"/>
        <v>144244.49337979639</v>
      </c>
    </row>
    <row r="31" spans="1:17" x14ac:dyDescent="0.25">
      <c r="A31" s="1">
        <v>43525</v>
      </c>
      <c r="B31" s="8">
        <f t="shared" si="7"/>
        <v>135848.84272092703</v>
      </c>
      <c r="C31" s="8">
        <f t="shared" si="0"/>
        <v>133675.2612373922</v>
      </c>
      <c r="D31" t="s">
        <v>33</v>
      </c>
      <c r="F31">
        <v>1</v>
      </c>
      <c r="G31" s="11">
        <f t="shared" si="8"/>
        <v>135175.2612373922</v>
      </c>
      <c r="H31" s="2">
        <f>IF(Estimat!G30=0,0,Estimat!G30/0.03/Oljepris!D30/(Oljepris!B30-12))</f>
        <v>0</v>
      </c>
      <c r="J31" s="8">
        <f t="shared" si="9"/>
        <v>8395.6506588693592</v>
      </c>
      <c r="K31" s="8">
        <f t="shared" si="2"/>
        <v>8311.6941522806665</v>
      </c>
      <c r="O31" s="11">
        <f t="shared" si="10"/>
        <v>8311.6941522806665</v>
      </c>
      <c r="Q31" s="8">
        <f t="shared" si="11"/>
        <v>143486.95538967286</v>
      </c>
    </row>
    <row r="32" spans="1:17" x14ac:dyDescent="0.25">
      <c r="A32" s="1">
        <v>43556</v>
      </c>
      <c r="B32" s="8">
        <f t="shared" si="7"/>
        <v>135175.2612373922</v>
      </c>
      <c r="C32" s="8">
        <f t="shared" si="0"/>
        <v>133012.45705759391</v>
      </c>
      <c r="D32" t="s">
        <v>38</v>
      </c>
      <c r="E32">
        <v>1</v>
      </c>
      <c r="F32">
        <v>1</v>
      </c>
      <c r="G32" s="11">
        <f t="shared" si="8"/>
        <v>139512.45705759391</v>
      </c>
      <c r="H32" s="2">
        <f>IF(Estimat!G31=0,0,Estimat!G31/0.03/Oljepris!D31/(Oljepris!B31-12))</f>
        <v>0</v>
      </c>
      <c r="J32" s="8">
        <f t="shared" si="9"/>
        <v>8311.6941522806665</v>
      </c>
      <c r="K32" s="8">
        <f t="shared" si="2"/>
        <v>8228.5772107578596</v>
      </c>
      <c r="O32" s="11">
        <f t="shared" si="10"/>
        <v>8228.5772107578596</v>
      </c>
      <c r="Q32" s="8">
        <f t="shared" si="11"/>
        <v>147741.03426835177</v>
      </c>
    </row>
    <row r="33" spans="1:17" x14ac:dyDescent="0.25">
      <c r="A33" s="1">
        <v>43586</v>
      </c>
      <c r="B33" s="8">
        <f t="shared" si="7"/>
        <v>139512.45705759391</v>
      </c>
      <c r="C33" s="8">
        <f t="shared" si="0"/>
        <v>137280.25774467242</v>
      </c>
      <c r="D33" t="s">
        <v>33</v>
      </c>
      <c r="F33">
        <v>1</v>
      </c>
      <c r="G33" s="11">
        <f t="shared" si="8"/>
        <v>138780.25774467242</v>
      </c>
      <c r="H33" s="2">
        <f>IF(Estimat!G32=0,0,Estimat!G32/0.03/Oljepris!D32/(Oljepris!B32-12))</f>
        <v>0</v>
      </c>
      <c r="J33" s="8">
        <f t="shared" si="9"/>
        <v>8228.5772107578596</v>
      </c>
      <c r="K33" s="8">
        <f t="shared" si="2"/>
        <v>8146.2914386502807</v>
      </c>
      <c r="L33" t="s">
        <v>34</v>
      </c>
      <c r="M33">
        <v>1</v>
      </c>
      <c r="O33" s="11">
        <f t="shared" si="10"/>
        <v>11146.291438650282</v>
      </c>
      <c r="Q33" s="8">
        <f t="shared" si="11"/>
        <v>149926.5491833227</v>
      </c>
    </row>
    <row r="34" spans="1:17" x14ac:dyDescent="0.25">
      <c r="A34" s="1">
        <v>43617</v>
      </c>
      <c r="B34" s="8">
        <f t="shared" si="7"/>
        <v>138780.25774467242</v>
      </c>
      <c r="C34" s="8">
        <f t="shared" si="0"/>
        <v>136559.77362075765</v>
      </c>
      <c r="D34" t="s">
        <v>33</v>
      </c>
      <c r="F34">
        <v>1</v>
      </c>
      <c r="G34" s="11">
        <f t="shared" si="8"/>
        <v>138059.77362075765</v>
      </c>
      <c r="H34" s="2">
        <f>IF(Estimat!G33=0,0,Estimat!G33/0.03/Oljepris!D33/(Oljepris!B33-12))</f>
        <v>0</v>
      </c>
      <c r="J34" s="8">
        <f t="shared" si="9"/>
        <v>11146.291438650282</v>
      </c>
      <c r="K34" s="8">
        <f t="shared" si="2"/>
        <v>11034.828524263779</v>
      </c>
      <c r="O34" s="11">
        <f t="shared" si="10"/>
        <v>11034.828524263779</v>
      </c>
      <c r="Q34" s="8">
        <f t="shared" si="11"/>
        <v>149094.60214502143</v>
      </c>
    </row>
    <row r="35" spans="1:17" x14ac:dyDescent="0.25">
      <c r="A35" s="1">
        <v>43647</v>
      </c>
      <c r="B35" s="8">
        <f t="shared" si="7"/>
        <v>138059.77362075765</v>
      </c>
      <c r="C35" s="8">
        <f t="shared" si="0"/>
        <v>135850.81724282552</v>
      </c>
      <c r="D35" t="s">
        <v>33</v>
      </c>
      <c r="F35">
        <v>1</v>
      </c>
      <c r="G35" s="11">
        <f t="shared" si="8"/>
        <v>137350.81724282552</v>
      </c>
      <c r="H35" s="2">
        <f>IF(Estimat!G34=0,0,Estimat!G34/0.03/Oljepris!D34/(Oljepris!B34-12))</f>
        <v>0</v>
      </c>
      <c r="J35" s="8">
        <f t="shared" si="9"/>
        <v>11034.828524263779</v>
      </c>
      <c r="K35" s="8">
        <f t="shared" si="2"/>
        <v>10924.480239021141</v>
      </c>
      <c r="O35" s="11">
        <f t="shared" si="10"/>
        <v>10924.480239021141</v>
      </c>
      <c r="Q35" s="8">
        <f t="shared" si="11"/>
        <v>148275.29748184665</v>
      </c>
    </row>
    <row r="36" spans="1:17" x14ac:dyDescent="0.25">
      <c r="A36" s="1">
        <v>43678</v>
      </c>
      <c r="B36" s="8">
        <f t="shared" si="7"/>
        <v>137350.81724282552</v>
      </c>
      <c r="C36" s="8">
        <f t="shared" si="0"/>
        <v>135153.20416694033</v>
      </c>
      <c r="D36" t="s">
        <v>39</v>
      </c>
      <c r="E36">
        <v>1</v>
      </c>
      <c r="F36">
        <v>1</v>
      </c>
      <c r="G36" s="11">
        <f t="shared" si="8"/>
        <v>141653.20416694033</v>
      </c>
      <c r="H36" s="2">
        <f>IF(Estimat!G35=0,0,Estimat!G35/0.03/Oljepris!D35/(Oljepris!B35-12))</f>
        <v>0</v>
      </c>
      <c r="J36" s="8">
        <f t="shared" si="9"/>
        <v>10924.480239021141</v>
      </c>
      <c r="K36" s="8">
        <f t="shared" si="2"/>
        <v>10815.23543663093</v>
      </c>
      <c r="O36" s="11">
        <f t="shared" si="10"/>
        <v>10815.23543663093</v>
      </c>
      <c r="Q36" s="8">
        <f t="shared" si="11"/>
        <v>152468.43960357126</v>
      </c>
    </row>
    <row r="37" spans="1:17" x14ac:dyDescent="0.25">
      <c r="A37" s="1">
        <v>43709</v>
      </c>
      <c r="B37" s="8">
        <f t="shared" si="7"/>
        <v>141653.20416694033</v>
      </c>
      <c r="C37" s="8">
        <f t="shared" si="0"/>
        <v>139386.75290026929</v>
      </c>
      <c r="D37" t="s">
        <v>33</v>
      </c>
      <c r="F37">
        <v>1</v>
      </c>
      <c r="G37" s="11">
        <f t="shared" si="8"/>
        <v>140886.75290026929</v>
      </c>
      <c r="H37" s="2">
        <f>IF(Estimat!G36=0,0,Estimat!G36/0.03/Oljepris!D36/(Oljepris!B36-12))</f>
        <v>0</v>
      </c>
      <c r="J37" s="8">
        <f t="shared" si="9"/>
        <v>10815.23543663093</v>
      </c>
      <c r="K37" s="8">
        <f t="shared" si="2"/>
        <v>10707.08308226462</v>
      </c>
      <c r="O37" s="11">
        <f t="shared" si="10"/>
        <v>10707.08308226462</v>
      </c>
      <c r="Q37" s="8">
        <f t="shared" si="11"/>
        <v>151593.8359825339</v>
      </c>
    </row>
    <row r="38" spans="1:17" x14ac:dyDescent="0.25">
      <c r="A38" s="1">
        <v>43739</v>
      </c>
      <c r="B38" s="8">
        <f t="shared" si="7"/>
        <v>140886.75290026929</v>
      </c>
      <c r="C38" s="8">
        <f t="shared" si="0"/>
        <v>138632.56485386498</v>
      </c>
      <c r="D38" t="s">
        <v>33</v>
      </c>
      <c r="F38">
        <v>1</v>
      </c>
      <c r="G38" s="11">
        <f t="shared" si="8"/>
        <v>140132.56485386498</v>
      </c>
      <c r="H38" s="2">
        <f>IF(Estimat!G37=0,0,Estimat!G37/0.03/Oljepris!D37/(Oljepris!B37-12))</f>
        <v>0</v>
      </c>
      <c r="J38" s="8">
        <f t="shared" si="9"/>
        <v>10707.08308226462</v>
      </c>
      <c r="K38" s="8">
        <f t="shared" si="2"/>
        <v>10600.012251441975</v>
      </c>
      <c r="L38" t="s">
        <v>34</v>
      </c>
      <c r="M38">
        <v>1</v>
      </c>
      <c r="O38" s="11">
        <f t="shared" si="10"/>
        <v>13600.012251441975</v>
      </c>
      <c r="Q38" s="8">
        <f t="shared" si="11"/>
        <v>153732.57710530696</v>
      </c>
    </row>
    <row r="39" spans="1:17" x14ac:dyDescent="0.25">
      <c r="A39" s="1">
        <v>43770</v>
      </c>
      <c r="B39" s="8">
        <f t="shared" si="7"/>
        <v>140132.56485386498</v>
      </c>
      <c r="C39" s="8">
        <f t="shared" si="0"/>
        <v>137890.44381620316</v>
      </c>
      <c r="D39" t="s">
        <v>33</v>
      </c>
      <c r="F39">
        <v>1</v>
      </c>
      <c r="G39" s="11">
        <f t="shared" si="8"/>
        <v>139390.44381620316</v>
      </c>
      <c r="H39" s="2">
        <f>IF(Estimat!G38=0,0,Estimat!G38/0.03/Oljepris!D38/(Oljepris!B38-12))</f>
        <v>0</v>
      </c>
      <c r="J39" s="8">
        <f t="shared" si="9"/>
        <v>13600.012251441975</v>
      </c>
      <c r="K39" s="8">
        <f t="shared" si="2"/>
        <v>13464.012128927554</v>
      </c>
      <c r="O39" s="11">
        <f t="shared" si="10"/>
        <v>13464.012128927554</v>
      </c>
      <c r="Q39" s="8">
        <f t="shared" si="11"/>
        <v>152854.4559451307</v>
      </c>
    </row>
    <row r="40" spans="1:17" x14ac:dyDescent="0.25">
      <c r="A40" s="1">
        <v>43800</v>
      </c>
      <c r="B40" s="8">
        <f t="shared" si="7"/>
        <v>139390.44381620316</v>
      </c>
      <c r="C40" s="8">
        <f t="shared" si="0"/>
        <v>137160.19671514392</v>
      </c>
      <c r="D40" t="s">
        <v>40</v>
      </c>
      <c r="E40">
        <v>1</v>
      </c>
      <c r="F40">
        <v>1</v>
      </c>
      <c r="G40" s="11">
        <f t="shared" si="8"/>
        <v>143660.19671514392</v>
      </c>
      <c r="H40" s="2">
        <f>IF(Estimat!G39=0,0,Estimat!G39/0.03/Oljepris!D39/(Oljepris!B39-12))</f>
        <v>0</v>
      </c>
      <c r="J40" s="8">
        <f t="shared" si="9"/>
        <v>13464.012128927554</v>
      </c>
      <c r="K40" s="8">
        <f t="shared" si="2"/>
        <v>13329.372007638278</v>
      </c>
      <c r="O40" s="11">
        <f t="shared" si="10"/>
        <v>13329.372007638278</v>
      </c>
      <c r="Q40" s="8">
        <f t="shared" si="11"/>
        <v>156989.56872278219</v>
      </c>
    </row>
    <row r="41" spans="1:17" x14ac:dyDescent="0.25">
      <c r="A41" s="1">
        <v>43831</v>
      </c>
      <c r="B41" s="8">
        <f t="shared" si="7"/>
        <v>143660.19671514392</v>
      </c>
      <c r="C41" s="8">
        <f t="shared" si="0"/>
        <v>141361.63356770162</v>
      </c>
      <c r="D41" t="s">
        <v>33</v>
      </c>
      <c r="F41">
        <v>1</v>
      </c>
      <c r="G41" s="11">
        <f t="shared" si="8"/>
        <v>142861.63356770162</v>
      </c>
      <c r="H41" s="2">
        <f>IF(Estimat!G40=0,0,Estimat!G40/0.03/Oljepris!D40/(Oljepris!B40-12))</f>
        <v>0</v>
      </c>
      <c r="J41" s="8">
        <f t="shared" si="9"/>
        <v>13329.372007638278</v>
      </c>
      <c r="K41" s="8">
        <f t="shared" si="2"/>
        <v>13196.078287561895</v>
      </c>
      <c r="O41" s="11">
        <f t="shared" si="10"/>
        <v>13196.078287561895</v>
      </c>
      <c r="Q41" s="8">
        <f t="shared" si="11"/>
        <v>156057.71185526351</v>
      </c>
    </row>
    <row r="42" spans="1:17" x14ac:dyDescent="0.25">
      <c r="A42" s="1">
        <v>43862</v>
      </c>
      <c r="B42" s="8">
        <f t="shared" si="7"/>
        <v>142861.63356770162</v>
      </c>
      <c r="C42" s="8">
        <f t="shared" si="0"/>
        <v>140575.84743061839</v>
      </c>
      <c r="D42" t="s">
        <v>33</v>
      </c>
      <c r="F42">
        <v>1</v>
      </c>
      <c r="G42" s="11">
        <f t="shared" si="8"/>
        <v>142075.84743061839</v>
      </c>
      <c r="H42" s="2">
        <f>IF(Estimat!G41=0,0,Estimat!G41/0.03/Oljepris!D41/(Oljepris!B41-12))</f>
        <v>0</v>
      </c>
      <c r="J42" s="8">
        <f t="shared" si="9"/>
        <v>13196.078287561895</v>
      </c>
      <c r="K42" s="8">
        <f t="shared" si="2"/>
        <v>13064.117504686275</v>
      </c>
      <c r="O42" s="11">
        <f t="shared" si="10"/>
        <v>13064.117504686275</v>
      </c>
      <c r="Q42" s="8">
        <f t="shared" si="11"/>
        <v>155139.96493530466</v>
      </c>
    </row>
    <row r="43" spans="1:17" x14ac:dyDescent="0.25">
      <c r="A43" s="1">
        <v>43891</v>
      </c>
      <c r="B43" s="8">
        <f t="shared" si="7"/>
        <v>142075.84743061839</v>
      </c>
      <c r="C43" s="8">
        <f t="shared" si="0"/>
        <v>139802.6338717285</v>
      </c>
      <c r="D43" t="s">
        <v>33</v>
      </c>
      <c r="F43">
        <v>1</v>
      </c>
      <c r="G43" s="11">
        <f t="shared" si="8"/>
        <v>141302.6338717285</v>
      </c>
      <c r="H43" s="2">
        <f>IF(Estimat!G42=0,0,Estimat!G42/0.03/Oljepris!D42/(Oljepris!B42-12))</f>
        <v>0</v>
      </c>
      <c r="J43" s="8">
        <f t="shared" si="9"/>
        <v>13064.117504686275</v>
      </c>
      <c r="K43" s="8">
        <f t="shared" si="2"/>
        <v>12933.476329639412</v>
      </c>
      <c r="L43" t="s">
        <v>34</v>
      </c>
      <c r="M43">
        <v>1</v>
      </c>
      <c r="O43" s="11">
        <f t="shared" si="10"/>
        <v>15933.476329639412</v>
      </c>
      <c r="Q43" s="8">
        <f t="shared" si="11"/>
        <v>157236.1102013679</v>
      </c>
    </row>
    <row r="44" spans="1:17" x14ac:dyDescent="0.25">
      <c r="A44" s="1">
        <v>43922</v>
      </c>
      <c r="B44" s="8">
        <f t="shared" si="7"/>
        <v>141302.6338717285</v>
      </c>
      <c r="C44" s="8">
        <f t="shared" si="0"/>
        <v>139041.79172978085</v>
      </c>
      <c r="D44" t="s">
        <v>41</v>
      </c>
      <c r="E44">
        <v>1</v>
      </c>
      <c r="F44">
        <v>1</v>
      </c>
      <c r="G44" s="11">
        <f t="shared" si="8"/>
        <v>145541.79172978085</v>
      </c>
      <c r="H44" s="2">
        <f>IF(Estimat!G43=0,0,Estimat!G43/0.03/Oljepris!D43/(Oljepris!B43-12))</f>
        <v>0</v>
      </c>
      <c r="J44" s="8">
        <f t="shared" si="9"/>
        <v>15933.476329639412</v>
      </c>
      <c r="K44" s="8">
        <f t="shared" si="2"/>
        <v>15774.141566343018</v>
      </c>
      <c r="O44" s="11">
        <f t="shared" si="10"/>
        <v>15774.141566343018</v>
      </c>
      <c r="Q44" s="8">
        <f t="shared" si="11"/>
        <v>161315.93329612387</v>
      </c>
    </row>
    <row r="45" spans="1:17" x14ac:dyDescent="0.25">
      <c r="A45" s="1">
        <v>43952</v>
      </c>
      <c r="B45" s="8">
        <f t="shared" si="7"/>
        <v>145541.79172978085</v>
      </c>
      <c r="C45" s="8">
        <f t="shared" si="0"/>
        <v>143213.12306210437</v>
      </c>
      <c r="D45" t="s">
        <v>33</v>
      </c>
      <c r="F45">
        <v>1</v>
      </c>
      <c r="G45" s="11">
        <f t="shared" si="8"/>
        <v>144713.12306210437</v>
      </c>
      <c r="H45" s="2">
        <f>IF(Estimat!G44=0,0,Estimat!G44/0.03/Oljepris!D44/(Oljepris!B44-12))</f>
        <v>0</v>
      </c>
      <c r="J45" s="8">
        <f t="shared" si="9"/>
        <v>15774.141566343018</v>
      </c>
      <c r="K45" s="8">
        <f t="shared" si="2"/>
        <v>15616.400150679588</v>
      </c>
      <c r="O45" s="11">
        <f t="shared" si="10"/>
        <v>15616.400150679588</v>
      </c>
      <c r="Q45" s="8">
        <f t="shared" si="11"/>
        <v>160329.52321278394</v>
      </c>
    </row>
    <row r="46" spans="1:17" x14ac:dyDescent="0.25">
      <c r="A46" s="1">
        <v>43983</v>
      </c>
      <c r="B46" s="8">
        <f t="shared" si="7"/>
        <v>144713.12306210437</v>
      </c>
      <c r="C46" s="8">
        <f t="shared" si="0"/>
        <v>142397.71309311071</v>
      </c>
      <c r="D46" t="s">
        <v>33</v>
      </c>
      <c r="F46">
        <v>1</v>
      </c>
      <c r="G46" s="11">
        <f t="shared" si="8"/>
        <v>143897.71309311071</v>
      </c>
      <c r="H46" s="2">
        <f>IF(Estimat!G45=0,0,Estimat!G45/0.03/Oljepris!D45/(Oljepris!B45-12))</f>
        <v>0</v>
      </c>
      <c r="J46" s="8">
        <f t="shared" si="9"/>
        <v>15616.400150679588</v>
      </c>
      <c r="K46" s="8">
        <f t="shared" si="2"/>
        <v>15460.236149172793</v>
      </c>
      <c r="O46" s="11">
        <f t="shared" si="10"/>
        <v>15460.236149172793</v>
      </c>
      <c r="Q46" s="8">
        <f t="shared" si="11"/>
        <v>159357.9492422835</v>
      </c>
    </row>
    <row r="47" spans="1:17" x14ac:dyDescent="0.25">
      <c r="A47" s="1">
        <v>44013</v>
      </c>
      <c r="B47" s="8">
        <f t="shared" si="7"/>
        <v>143897.71309311071</v>
      </c>
      <c r="C47" s="8">
        <f t="shared" si="0"/>
        <v>141595.34968362094</v>
      </c>
      <c r="D47" t="s">
        <v>33</v>
      </c>
      <c r="F47">
        <v>1</v>
      </c>
      <c r="G47" s="11">
        <f t="shared" si="8"/>
        <v>143095.34968362094</v>
      </c>
      <c r="H47" s="2">
        <f>IF(Estimat!G46=0,0,Estimat!G46/0.03/Oljepris!D46/(Oljepris!B46-12))</f>
        <v>0</v>
      </c>
      <c r="J47" s="8">
        <f t="shared" si="9"/>
        <v>15460.236149172793</v>
      </c>
      <c r="K47" s="8">
        <f t="shared" si="2"/>
        <v>15305.633787681065</v>
      </c>
      <c r="O47" s="11">
        <f t="shared" si="10"/>
        <v>15305.633787681065</v>
      </c>
      <c r="Q47" s="8">
        <f t="shared" si="11"/>
        <v>158400.983471302</v>
      </c>
    </row>
    <row r="48" spans="1:17" x14ac:dyDescent="0.25">
      <c r="A48" s="1">
        <v>44044</v>
      </c>
      <c r="B48" s="8">
        <f t="shared" si="7"/>
        <v>143095.34968362094</v>
      </c>
      <c r="C48" s="8">
        <f t="shared" si="0"/>
        <v>140805.824088683</v>
      </c>
      <c r="D48" t="s">
        <v>42</v>
      </c>
      <c r="E48">
        <v>1</v>
      </c>
      <c r="F48">
        <v>1</v>
      </c>
      <c r="G48" s="11">
        <f t="shared" si="8"/>
        <v>147305.824088683</v>
      </c>
      <c r="H48" s="2">
        <f>IF(Estimat!G47=0,0,Estimat!G47/0.03/Oljepris!D47/(Oljepris!B47-12))</f>
        <v>0</v>
      </c>
      <c r="J48" s="8">
        <f t="shared" si="9"/>
        <v>15305.633787681065</v>
      </c>
      <c r="K48" s="8">
        <f t="shared" si="2"/>
        <v>15152.577449804254</v>
      </c>
      <c r="L48" t="s">
        <v>34</v>
      </c>
      <c r="M48">
        <v>1</v>
      </c>
      <c r="O48" s="11">
        <f t="shared" si="10"/>
        <v>18152.577449804252</v>
      </c>
      <c r="Q48" s="8">
        <f t="shared" si="11"/>
        <v>165458.40153848726</v>
      </c>
    </row>
    <row r="49" spans="1:17" x14ac:dyDescent="0.25">
      <c r="A49" s="1">
        <v>44075</v>
      </c>
      <c r="B49" s="8">
        <f t="shared" si="7"/>
        <v>147305.824088683</v>
      </c>
      <c r="C49" s="8">
        <f t="shared" si="0"/>
        <v>144948.93090326409</v>
      </c>
      <c r="D49" t="s">
        <v>33</v>
      </c>
      <c r="F49">
        <v>1</v>
      </c>
      <c r="G49" s="11">
        <f t="shared" si="8"/>
        <v>146448.93090326409</v>
      </c>
      <c r="H49" s="2">
        <f>IF(Estimat!G48=0,0,Estimat!G48/0.03/Oljepris!D48/(Oljepris!B48-12))</f>
        <v>0</v>
      </c>
      <c r="J49" s="8">
        <f t="shared" si="9"/>
        <v>18152.577449804252</v>
      </c>
      <c r="K49" s="8">
        <f t="shared" si="2"/>
        <v>17971.051675306211</v>
      </c>
      <c r="O49" s="11">
        <f t="shared" si="10"/>
        <v>17971.051675306211</v>
      </c>
      <c r="Q49" s="8">
        <f t="shared" si="11"/>
        <v>164419.98257857031</v>
      </c>
    </row>
    <row r="50" spans="1:17" x14ac:dyDescent="0.25">
      <c r="A50" s="1">
        <v>44105</v>
      </c>
      <c r="B50" s="8">
        <f t="shared" si="7"/>
        <v>146448.93090326409</v>
      </c>
      <c r="C50" s="8">
        <f t="shared" si="0"/>
        <v>144105.74800881188</v>
      </c>
      <c r="D50" t="s">
        <v>33</v>
      </c>
      <c r="F50">
        <v>1</v>
      </c>
      <c r="G50" s="11">
        <f t="shared" si="8"/>
        <v>145605.74800881188</v>
      </c>
      <c r="H50" s="2">
        <f>IF(Estimat!G49=0,0,Estimat!G49/0.03/Oljepris!D49/(Oljepris!B49-12))</f>
        <v>0</v>
      </c>
      <c r="J50" s="8">
        <f t="shared" si="9"/>
        <v>17971.051675306211</v>
      </c>
      <c r="K50" s="8">
        <f t="shared" si="2"/>
        <v>17791.34115855315</v>
      </c>
      <c r="O50" s="11">
        <f t="shared" si="10"/>
        <v>17791.34115855315</v>
      </c>
      <c r="Q50" s="8">
        <f t="shared" si="11"/>
        <v>163397.08916736502</v>
      </c>
    </row>
    <row r="51" spans="1:17" x14ac:dyDescent="0.25">
      <c r="A51" s="1">
        <v>44136</v>
      </c>
      <c r="B51" s="8">
        <f t="shared" si="7"/>
        <v>145605.74800881188</v>
      </c>
      <c r="C51" s="8">
        <f t="shared" si="0"/>
        <v>143276.0560406709</v>
      </c>
      <c r="D51" t="s">
        <v>33</v>
      </c>
      <c r="F51">
        <v>1</v>
      </c>
      <c r="G51" s="11">
        <f t="shared" si="8"/>
        <v>144776.0560406709</v>
      </c>
      <c r="H51" s="2">
        <f>IF(Estimat!G50=0,0,Estimat!G50/0.03/Oljepris!D50/(Oljepris!B50-12))</f>
        <v>0</v>
      </c>
      <c r="J51" s="8">
        <f t="shared" si="9"/>
        <v>17791.34115855315</v>
      </c>
      <c r="K51" s="8">
        <f t="shared" si="2"/>
        <v>17613.42774696762</v>
      </c>
      <c r="O51" s="11">
        <f t="shared" si="10"/>
        <v>17613.42774696762</v>
      </c>
      <c r="Q51" s="8">
        <f t="shared" si="11"/>
        <v>162389.48378763851</v>
      </c>
    </row>
    <row r="52" spans="1:17" x14ac:dyDescent="0.25">
      <c r="A52" s="1">
        <v>44166</v>
      </c>
      <c r="B52" s="8">
        <f t="shared" si="7"/>
        <v>144776.0560406709</v>
      </c>
      <c r="C52" s="8">
        <f t="shared" si="0"/>
        <v>142459.63914402016</v>
      </c>
      <c r="D52" t="s">
        <v>43</v>
      </c>
      <c r="E52">
        <v>1</v>
      </c>
      <c r="F52">
        <v>1</v>
      </c>
      <c r="G52" s="11">
        <f t="shared" si="8"/>
        <v>148959.63914402016</v>
      </c>
      <c r="H52" s="2">
        <f>IF(Estimat!G51=0,0,Estimat!G51/0.03/Oljepris!D51/(Oljepris!B51-12))</f>
        <v>0</v>
      </c>
      <c r="J52" s="8">
        <f t="shared" si="9"/>
        <v>17613.42774696762</v>
      </c>
      <c r="K52" s="8">
        <f t="shared" si="2"/>
        <v>17437.293469497945</v>
      </c>
      <c r="L52" t="s">
        <v>34</v>
      </c>
      <c r="M52">
        <v>1</v>
      </c>
      <c r="O52" s="11">
        <f t="shared" si="10"/>
        <v>20437.293469497945</v>
      </c>
      <c r="Q52" s="8">
        <f t="shared" si="11"/>
        <v>169396.93261351809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workbookViewId="0">
      <pane ySplit="3" topLeftCell="A4" activePane="bottomLeft" state="frozen"/>
      <selection pane="bottomLeft" activeCell="F10" sqref="F10"/>
    </sheetView>
  </sheetViews>
  <sheetFormatPr defaultRowHeight="15" x14ac:dyDescent="0.25"/>
  <cols>
    <col min="2" max="2" width="15" customWidth="1"/>
    <col min="3" max="3" width="18.85546875" customWidth="1"/>
    <col min="4" max="4" width="24.7109375" customWidth="1"/>
    <col min="5" max="5" width="9" customWidth="1"/>
    <col min="6" max="6" width="12.140625" customWidth="1"/>
  </cols>
  <sheetData>
    <row r="1" spans="1:8" x14ac:dyDescent="0.25">
      <c r="A1" s="6" t="s">
        <v>45</v>
      </c>
      <c r="B1" t="s">
        <v>16</v>
      </c>
      <c r="C1" s="4">
        <v>5.0000000000000001E-3</v>
      </c>
      <c r="D1" s="7" t="s">
        <v>21</v>
      </c>
      <c r="E1" s="5" t="s">
        <v>46</v>
      </c>
      <c r="F1" s="5" t="s">
        <v>47</v>
      </c>
    </row>
    <row r="2" spans="1:8" x14ac:dyDescent="0.25">
      <c r="C2" s="5"/>
      <c r="D2" s="5"/>
      <c r="E2" s="9">
        <v>2000</v>
      </c>
      <c r="F2" s="9">
        <v>3000</v>
      </c>
    </row>
    <row r="3" spans="1:8" x14ac:dyDescent="0.25">
      <c r="A3" t="s">
        <v>10</v>
      </c>
      <c r="B3" t="s">
        <v>11</v>
      </c>
      <c r="C3" t="s">
        <v>25</v>
      </c>
      <c r="D3" t="s">
        <v>18</v>
      </c>
      <c r="G3" t="s">
        <v>13</v>
      </c>
      <c r="H3" t="s">
        <v>15</v>
      </c>
    </row>
    <row r="5" spans="1:8" x14ac:dyDescent="0.25">
      <c r="A5" s="1">
        <v>42736</v>
      </c>
      <c r="B5">
        <v>4950</v>
      </c>
      <c r="C5" s="8">
        <f>B5-(B5*$C$1)</f>
        <v>4925.25</v>
      </c>
      <c r="D5" t="s">
        <v>24</v>
      </c>
      <c r="G5" s="8">
        <f>C5+(E5*$E$2)+(F5*$F$2)</f>
        <v>4925.25</v>
      </c>
    </row>
    <row r="6" spans="1:8" x14ac:dyDescent="0.25">
      <c r="A6" s="1">
        <v>42767</v>
      </c>
      <c r="B6" s="8">
        <f>IF(H5=0,G5,H5)</f>
        <v>4925.25</v>
      </c>
      <c r="C6" s="8">
        <f t="shared" ref="C6:C52" si="0">B6-(B6*$C$1)</f>
        <v>4900.6237499999997</v>
      </c>
      <c r="D6" t="s">
        <v>24</v>
      </c>
      <c r="G6" s="8">
        <f t="shared" ref="G6:G52" si="1">C6+(E6*$E$2)+(F6*$F$2)</f>
        <v>4900.6237499999997</v>
      </c>
    </row>
    <row r="7" spans="1:8" x14ac:dyDescent="0.25">
      <c r="A7" s="1">
        <v>42795</v>
      </c>
      <c r="B7" s="8">
        <f t="shared" ref="B7:B52" si="2">IF(H6=0,G6,H6)</f>
        <v>4900.6237499999997</v>
      </c>
      <c r="C7" s="8">
        <f t="shared" si="0"/>
        <v>4876.1206312499999</v>
      </c>
      <c r="D7" t="s">
        <v>24</v>
      </c>
      <c r="G7" s="8">
        <f t="shared" si="1"/>
        <v>4876.1206312499999</v>
      </c>
    </row>
    <row r="8" spans="1:8" x14ac:dyDescent="0.25">
      <c r="A8" s="1">
        <v>42826</v>
      </c>
      <c r="B8" s="8">
        <f t="shared" si="2"/>
        <v>4876.1206312499999</v>
      </c>
      <c r="C8" s="8">
        <f t="shared" si="0"/>
        <v>4851.74002809375</v>
      </c>
      <c r="D8" t="s">
        <v>24</v>
      </c>
      <c r="G8" s="8">
        <f t="shared" si="1"/>
        <v>4851.74002809375</v>
      </c>
    </row>
    <row r="9" spans="1:8" x14ac:dyDescent="0.25">
      <c r="A9" s="1">
        <v>42856</v>
      </c>
      <c r="B9" s="8">
        <f t="shared" si="2"/>
        <v>4851.74002809375</v>
      </c>
      <c r="C9" s="8">
        <f t="shared" si="0"/>
        <v>4827.4813279532809</v>
      </c>
      <c r="D9" t="s">
        <v>24</v>
      </c>
      <c r="G9" s="8">
        <f t="shared" si="1"/>
        <v>4827.4813279532809</v>
      </c>
    </row>
    <row r="10" spans="1:8" x14ac:dyDescent="0.25">
      <c r="A10" s="1">
        <v>42887</v>
      </c>
      <c r="B10" s="8">
        <f t="shared" si="2"/>
        <v>4827.4813279532809</v>
      </c>
      <c r="C10" s="8">
        <f t="shared" si="0"/>
        <v>4803.3439213135143</v>
      </c>
      <c r="D10" t="s">
        <v>48</v>
      </c>
      <c r="G10" s="8">
        <f t="shared" si="1"/>
        <v>4803.3439213135143</v>
      </c>
    </row>
    <row r="11" spans="1:8" x14ac:dyDescent="0.25">
      <c r="A11" s="1">
        <v>42917</v>
      </c>
      <c r="B11" s="8">
        <f t="shared" si="2"/>
        <v>4803.3439213135143</v>
      </c>
      <c r="C11" s="8">
        <f t="shared" si="0"/>
        <v>4779.3272017069467</v>
      </c>
      <c r="D11" t="s">
        <v>24</v>
      </c>
      <c r="G11" s="8">
        <f t="shared" si="1"/>
        <v>4779.3272017069467</v>
      </c>
    </row>
    <row r="12" spans="1:8" x14ac:dyDescent="0.25">
      <c r="A12" s="1">
        <v>42948</v>
      </c>
      <c r="B12" s="8">
        <f t="shared" si="2"/>
        <v>4779.3272017069467</v>
      </c>
      <c r="C12" s="8">
        <f t="shared" si="0"/>
        <v>4755.4305656984116</v>
      </c>
      <c r="D12" t="s">
        <v>24</v>
      </c>
      <c r="G12" s="8">
        <f t="shared" si="1"/>
        <v>4755.4305656984116</v>
      </c>
    </row>
    <row r="13" spans="1:8" x14ac:dyDescent="0.25">
      <c r="A13" s="1">
        <v>42979</v>
      </c>
      <c r="B13" s="8">
        <f t="shared" si="2"/>
        <v>4755.4305656984116</v>
      </c>
      <c r="C13" s="8">
        <f t="shared" si="0"/>
        <v>4731.6534128699195</v>
      </c>
      <c r="D13" t="s">
        <v>24</v>
      </c>
      <c r="G13" s="8">
        <f t="shared" si="1"/>
        <v>4731.6534128699195</v>
      </c>
    </row>
    <row r="14" spans="1:8" x14ac:dyDescent="0.25">
      <c r="A14" s="1">
        <v>43009</v>
      </c>
      <c r="B14" s="8">
        <f t="shared" si="2"/>
        <v>4731.6534128699195</v>
      </c>
      <c r="C14" s="8">
        <f t="shared" si="0"/>
        <v>4707.9951458055702</v>
      </c>
      <c r="D14" t="s">
        <v>49</v>
      </c>
      <c r="E14">
        <v>1</v>
      </c>
      <c r="G14" s="8">
        <f t="shared" si="1"/>
        <v>6707.9951458055702</v>
      </c>
    </row>
    <row r="15" spans="1:8" x14ac:dyDescent="0.25">
      <c r="A15" s="1">
        <v>43040</v>
      </c>
      <c r="B15" s="8">
        <f t="shared" si="2"/>
        <v>6707.9951458055702</v>
      </c>
      <c r="C15" s="8">
        <f t="shared" si="0"/>
        <v>6674.4551700765423</v>
      </c>
      <c r="D15" t="s">
        <v>24</v>
      </c>
      <c r="G15" s="8">
        <f t="shared" si="1"/>
        <v>6674.4551700765423</v>
      </c>
    </row>
    <row r="16" spans="1:8" x14ac:dyDescent="0.25">
      <c r="A16" s="1">
        <v>43070</v>
      </c>
      <c r="B16" s="8">
        <f t="shared" si="2"/>
        <v>6674.4551700765423</v>
      </c>
      <c r="C16" s="8">
        <f t="shared" si="0"/>
        <v>6641.0828942261596</v>
      </c>
      <c r="D16" t="s">
        <v>24</v>
      </c>
      <c r="G16" s="8">
        <f t="shared" si="1"/>
        <v>6641.0828942261596</v>
      </c>
    </row>
    <row r="17" spans="1:7" x14ac:dyDescent="0.25">
      <c r="A17" s="1">
        <v>43101</v>
      </c>
      <c r="B17" s="8">
        <f t="shared" si="2"/>
        <v>6641.0828942261596</v>
      </c>
      <c r="C17" s="8">
        <f t="shared" si="0"/>
        <v>6607.8774797550286</v>
      </c>
      <c r="D17" t="s">
        <v>24</v>
      </c>
      <c r="G17" s="8">
        <f t="shared" si="1"/>
        <v>6607.8774797550286</v>
      </c>
    </row>
    <row r="18" spans="1:7" x14ac:dyDescent="0.25">
      <c r="A18" s="1">
        <v>43132</v>
      </c>
      <c r="B18" s="8">
        <f t="shared" si="2"/>
        <v>6607.8774797550286</v>
      </c>
      <c r="C18" s="8">
        <f t="shared" si="0"/>
        <v>6574.8380923562536</v>
      </c>
      <c r="D18" t="s">
        <v>24</v>
      </c>
      <c r="G18" s="8">
        <f t="shared" si="1"/>
        <v>6574.8380923562536</v>
      </c>
    </row>
    <row r="19" spans="1:7" x14ac:dyDescent="0.25">
      <c r="A19" s="1">
        <v>43160</v>
      </c>
      <c r="B19" s="8">
        <f t="shared" si="2"/>
        <v>6574.8380923562536</v>
      </c>
      <c r="C19" s="8">
        <f t="shared" si="0"/>
        <v>6541.9639018944727</v>
      </c>
      <c r="D19" t="s">
        <v>24</v>
      </c>
      <c r="G19" s="8">
        <f t="shared" si="1"/>
        <v>6541.9639018944727</v>
      </c>
    </row>
    <row r="20" spans="1:7" x14ac:dyDescent="0.25">
      <c r="A20" s="1">
        <v>43191</v>
      </c>
      <c r="B20" s="8">
        <f t="shared" si="2"/>
        <v>6541.9639018944727</v>
      </c>
      <c r="C20" s="8">
        <f t="shared" si="0"/>
        <v>6509.2540823850004</v>
      </c>
      <c r="D20" t="s">
        <v>24</v>
      </c>
      <c r="G20" s="8">
        <f t="shared" si="1"/>
        <v>6509.2540823850004</v>
      </c>
    </row>
    <row r="21" spans="1:7" x14ac:dyDescent="0.25">
      <c r="A21" s="1">
        <v>43221</v>
      </c>
      <c r="B21" s="8">
        <f t="shared" si="2"/>
        <v>6509.2540823850004</v>
      </c>
      <c r="C21" s="8">
        <f t="shared" si="0"/>
        <v>6476.707811973075</v>
      </c>
      <c r="D21" t="s">
        <v>24</v>
      </c>
      <c r="G21" s="8">
        <f t="shared" si="1"/>
        <v>6476.707811973075</v>
      </c>
    </row>
    <row r="22" spans="1:7" x14ac:dyDescent="0.25">
      <c r="A22" s="1">
        <v>43252</v>
      </c>
      <c r="B22" s="8">
        <f t="shared" si="2"/>
        <v>6476.707811973075</v>
      </c>
      <c r="C22" s="8">
        <f t="shared" si="0"/>
        <v>6444.3242729132098</v>
      </c>
      <c r="D22" t="s">
        <v>24</v>
      </c>
      <c r="G22" s="8">
        <f t="shared" si="1"/>
        <v>6444.3242729132098</v>
      </c>
    </row>
    <row r="23" spans="1:7" x14ac:dyDescent="0.25">
      <c r="A23" s="1">
        <v>43282</v>
      </c>
      <c r="B23" s="8">
        <f t="shared" si="2"/>
        <v>6444.3242729132098</v>
      </c>
      <c r="C23" s="8">
        <f t="shared" si="0"/>
        <v>6412.1026515486437</v>
      </c>
      <c r="D23" t="s">
        <v>24</v>
      </c>
      <c r="G23" s="8">
        <f t="shared" si="1"/>
        <v>6412.1026515486437</v>
      </c>
    </row>
    <row r="24" spans="1:7" x14ac:dyDescent="0.25">
      <c r="A24" s="1">
        <v>43313</v>
      </c>
      <c r="B24" s="8">
        <f t="shared" si="2"/>
        <v>6412.1026515486437</v>
      </c>
      <c r="C24" s="8">
        <f t="shared" si="0"/>
        <v>6380.0421382909008</v>
      </c>
      <c r="D24" t="s">
        <v>24</v>
      </c>
      <c r="G24" s="8">
        <f t="shared" si="1"/>
        <v>6380.0421382909008</v>
      </c>
    </row>
    <row r="25" spans="1:7" x14ac:dyDescent="0.25">
      <c r="A25" s="1">
        <v>43344</v>
      </c>
      <c r="B25" s="8">
        <f t="shared" si="2"/>
        <v>6380.0421382909008</v>
      </c>
      <c r="C25" s="8">
        <f t="shared" si="0"/>
        <v>6348.1419275994467</v>
      </c>
      <c r="D25" t="s">
        <v>24</v>
      </c>
      <c r="G25" s="8">
        <f t="shared" si="1"/>
        <v>6348.1419275994467</v>
      </c>
    </row>
    <row r="26" spans="1:7" x14ac:dyDescent="0.25">
      <c r="A26" s="1">
        <v>43374</v>
      </c>
      <c r="B26" s="8">
        <f t="shared" si="2"/>
        <v>6348.1419275994467</v>
      </c>
      <c r="C26" s="8">
        <f t="shared" si="0"/>
        <v>6316.4012179614492</v>
      </c>
      <c r="D26" t="s">
        <v>24</v>
      </c>
      <c r="G26" s="8">
        <f t="shared" si="1"/>
        <v>6316.4012179614492</v>
      </c>
    </row>
    <row r="27" spans="1:7" x14ac:dyDescent="0.25">
      <c r="A27" s="1">
        <v>43405</v>
      </c>
      <c r="B27" s="8">
        <f t="shared" si="2"/>
        <v>6316.4012179614492</v>
      </c>
      <c r="C27" s="8">
        <f t="shared" si="0"/>
        <v>6284.8192118716415</v>
      </c>
      <c r="D27" t="s">
        <v>24</v>
      </c>
      <c r="G27" s="8">
        <f t="shared" si="1"/>
        <v>6284.8192118716415</v>
      </c>
    </row>
    <row r="28" spans="1:7" x14ac:dyDescent="0.25">
      <c r="A28" s="1">
        <v>43435</v>
      </c>
      <c r="B28" s="8">
        <f t="shared" si="2"/>
        <v>6284.8192118716415</v>
      </c>
      <c r="C28" s="8">
        <f t="shared" si="0"/>
        <v>6253.3951158122836</v>
      </c>
      <c r="D28" t="s">
        <v>24</v>
      </c>
      <c r="G28" s="8">
        <f t="shared" si="1"/>
        <v>6253.3951158122836</v>
      </c>
    </row>
    <row r="29" spans="1:7" x14ac:dyDescent="0.25">
      <c r="A29" s="1">
        <v>43466</v>
      </c>
      <c r="B29" s="8">
        <f t="shared" si="2"/>
        <v>6253.3951158122836</v>
      </c>
      <c r="C29" s="8">
        <f t="shared" si="0"/>
        <v>6222.1281402332224</v>
      </c>
      <c r="D29" t="s">
        <v>24</v>
      </c>
      <c r="G29" s="8">
        <f t="shared" si="1"/>
        <v>6222.1281402332224</v>
      </c>
    </row>
    <row r="30" spans="1:7" x14ac:dyDescent="0.25">
      <c r="A30" s="1">
        <v>43497</v>
      </c>
      <c r="B30" s="8">
        <f t="shared" si="2"/>
        <v>6222.1281402332224</v>
      </c>
      <c r="C30" s="8">
        <f t="shared" si="0"/>
        <v>6191.0174995320567</v>
      </c>
      <c r="D30" t="s">
        <v>24</v>
      </c>
      <c r="G30" s="8">
        <f t="shared" si="1"/>
        <v>6191.0174995320567</v>
      </c>
    </row>
    <row r="31" spans="1:7" x14ac:dyDescent="0.25">
      <c r="A31" s="1">
        <v>43525</v>
      </c>
      <c r="B31" s="8">
        <f t="shared" si="2"/>
        <v>6191.0174995320567</v>
      </c>
      <c r="C31" s="8">
        <f t="shared" si="0"/>
        <v>6160.0624120343964</v>
      </c>
      <c r="D31" t="s">
        <v>24</v>
      </c>
      <c r="G31" s="8">
        <f t="shared" si="1"/>
        <v>6160.0624120343964</v>
      </c>
    </row>
    <row r="32" spans="1:7" x14ac:dyDescent="0.25">
      <c r="A32" s="1">
        <v>43556</v>
      </c>
      <c r="B32" s="8">
        <f t="shared" si="2"/>
        <v>6160.0624120343964</v>
      </c>
      <c r="C32" s="8">
        <f t="shared" si="0"/>
        <v>6129.2620999742248</v>
      </c>
      <c r="D32" t="s">
        <v>24</v>
      </c>
      <c r="G32" s="8">
        <f t="shared" si="1"/>
        <v>6129.2620999742248</v>
      </c>
    </row>
    <row r="33" spans="1:7" x14ac:dyDescent="0.25">
      <c r="A33" s="1">
        <v>43586</v>
      </c>
      <c r="B33" s="8">
        <f t="shared" si="2"/>
        <v>6129.2620999742248</v>
      </c>
      <c r="C33" s="8">
        <f t="shared" si="0"/>
        <v>6098.6157894743537</v>
      </c>
      <c r="D33" t="s">
        <v>24</v>
      </c>
      <c r="G33" s="8">
        <f t="shared" si="1"/>
        <v>6098.6157894743537</v>
      </c>
    </row>
    <row r="34" spans="1:7" x14ac:dyDescent="0.25">
      <c r="A34" s="1">
        <v>43617</v>
      </c>
      <c r="B34" s="8">
        <f t="shared" si="2"/>
        <v>6098.6157894743537</v>
      </c>
      <c r="C34" s="8">
        <f t="shared" si="0"/>
        <v>6068.1227105269818</v>
      </c>
      <c r="D34" t="s">
        <v>24</v>
      </c>
      <c r="G34" s="8">
        <f t="shared" si="1"/>
        <v>6068.1227105269818</v>
      </c>
    </row>
    <row r="35" spans="1:7" x14ac:dyDescent="0.25">
      <c r="A35" s="1">
        <v>43647</v>
      </c>
      <c r="B35" s="8">
        <f t="shared" si="2"/>
        <v>6068.1227105269818</v>
      </c>
      <c r="C35" s="8">
        <f t="shared" si="0"/>
        <v>6037.782096974347</v>
      </c>
      <c r="D35" t="s">
        <v>24</v>
      </c>
      <c r="G35" s="8">
        <f t="shared" si="1"/>
        <v>6037.782096974347</v>
      </c>
    </row>
    <row r="36" spans="1:7" x14ac:dyDescent="0.25">
      <c r="A36" s="1">
        <v>43678</v>
      </c>
      <c r="B36" s="8">
        <f t="shared" si="2"/>
        <v>6037.782096974347</v>
      </c>
      <c r="C36" s="8">
        <f t="shared" si="0"/>
        <v>6007.5931864894756</v>
      </c>
      <c r="D36" t="s">
        <v>24</v>
      </c>
      <c r="G36" s="8">
        <f t="shared" si="1"/>
        <v>6007.5931864894756</v>
      </c>
    </row>
    <row r="37" spans="1:7" x14ac:dyDescent="0.25">
      <c r="A37" s="1">
        <v>43709</v>
      </c>
      <c r="B37" s="8">
        <f t="shared" si="2"/>
        <v>6007.5931864894756</v>
      </c>
      <c r="C37" s="8">
        <f t="shared" si="0"/>
        <v>5977.5552205570284</v>
      </c>
      <c r="D37" t="s">
        <v>24</v>
      </c>
      <c r="G37" s="8">
        <f t="shared" si="1"/>
        <v>5977.5552205570284</v>
      </c>
    </row>
    <row r="38" spans="1:7" x14ac:dyDescent="0.25">
      <c r="A38" s="1">
        <v>43739</v>
      </c>
      <c r="B38" s="8">
        <f t="shared" si="2"/>
        <v>5977.5552205570284</v>
      </c>
      <c r="C38" s="8">
        <f t="shared" si="0"/>
        <v>5947.6674444542432</v>
      </c>
      <c r="D38" t="s">
        <v>24</v>
      </c>
      <c r="G38" s="8">
        <f t="shared" si="1"/>
        <v>5947.6674444542432</v>
      </c>
    </row>
    <row r="39" spans="1:7" x14ac:dyDescent="0.25">
      <c r="A39" s="1">
        <v>43770</v>
      </c>
      <c r="B39" s="8">
        <f t="shared" si="2"/>
        <v>5947.6674444542432</v>
      </c>
      <c r="C39" s="8">
        <f t="shared" si="0"/>
        <v>5917.929107231972</v>
      </c>
      <c r="D39" t="s">
        <v>24</v>
      </c>
      <c r="G39" s="8">
        <f t="shared" si="1"/>
        <v>5917.929107231972</v>
      </c>
    </row>
    <row r="40" spans="1:7" x14ac:dyDescent="0.25">
      <c r="A40" s="1">
        <v>43800</v>
      </c>
      <c r="B40" s="8">
        <f t="shared" si="2"/>
        <v>5917.929107231972</v>
      </c>
      <c r="C40" s="8">
        <f t="shared" si="0"/>
        <v>5888.3394616958121</v>
      </c>
      <c r="D40" t="s">
        <v>24</v>
      </c>
      <c r="G40" s="8">
        <f t="shared" si="1"/>
        <v>5888.3394616958121</v>
      </c>
    </row>
    <row r="41" spans="1:7" x14ac:dyDescent="0.25">
      <c r="A41" s="1">
        <v>43831</v>
      </c>
      <c r="B41" s="8">
        <f t="shared" si="2"/>
        <v>5888.3394616958121</v>
      </c>
      <c r="C41" s="8">
        <f t="shared" si="0"/>
        <v>5858.8977643873332</v>
      </c>
      <c r="D41" t="s">
        <v>24</v>
      </c>
      <c r="G41" s="8">
        <f t="shared" si="1"/>
        <v>5858.8977643873332</v>
      </c>
    </row>
    <row r="42" spans="1:7" x14ac:dyDescent="0.25">
      <c r="A42" s="1">
        <v>43862</v>
      </c>
      <c r="B42" s="8">
        <f t="shared" si="2"/>
        <v>5858.8977643873332</v>
      </c>
      <c r="C42" s="8">
        <f t="shared" si="0"/>
        <v>5829.6032755653969</v>
      </c>
      <c r="D42" t="s">
        <v>24</v>
      </c>
      <c r="G42" s="8">
        <f t="shared" si="1"/>
        <v>5829.6032755653969</v>
      </c>
    </row>
    <row r="43" spans="1:7" x14ac:dyDescent="0.25">
      <c r="A43" s="1">
        <v>43891</v>
      </c>
      <c r="B43" s="8">
        <f t="shared" si="2"/>
        <v>5829.6032755653969</v>
      </c>
      <c r="C43" s="8">
        <f t="shared" si="0"/>
        <v>5800.4552591875699</v>
      </c>
      <c r="D43" t="s">
        <v>24</v>
      </c>
      <c r="G43" s="8">
        <f t="shared" si="1"/>
        <v>5800.4552591875699</v>
      </c>
    </row>
    <row r="44" spans="1:7" x14ac:dyDescent="0.25">
      <c r="A44" s="1">
        <v>43922</v>
      </c>
      <c r="B44" s="8">
        <f t="shared" si="2"/>
        <v>5800.4552591875699</v>
      </c>
      <c r="C44" s="8">
        <f t="shared" si="0"/>
        <v>5771.452982891632</v>
      </c>
      <c r="D44" t="s">
        <v>24</v>
      </c>
      <c r="G44" s="8">
        <f t="shared" si="1"/>
        <v>5771.452982891632</v>
      </c>
    </row>
    <row r="45" spans="1:7" x14ac:dyDescent="0.25">
      <c r="A45" s="1">
        <v>43952</v>
      </c>
      <c r="B45" s="8">
        <f t="shared" si="2"/>
        <v>5771.452982891632</v>
      </c>
      <c r="C45" s="8">
        <f t="shared" si="0"/>
        <v>5742.595717977174</v>
      </c>
      <c r="D45" t="s">
        <v>24</v>
      </c>
      <c r="G45" s="8">
        <f t="shared" si="1"/>
        <v>5742.595717977174</v>
      </c>
    </row>
    <row r="46" spans="1:7" x14ac:dyDescent="0.25">
      <c r="A46" s="1">
        <v>43983</v>
      </c>
      <c r="B46" s="8">
        <f t="shared" si="2"/>
        <v>5742.595717977174</v>
      </c>
      <c r="C46" s="8">
        <f t="shared" si="0"/>
        <v>5713.882739387288</v>
      </c>
      <c r="D46" t="s">
        <v>24</v>
      </c>
      <c r="G46" s="8">
        <f t="shared" si="1"/>
        <v>5713.882739387288</v>
      </c>
    </row>
    <row r="47" spans="1:7" x14ac:dyDescent="0.25">
      <c r="A47" s="1">
        <v>44013</v>
      </c>
      <c r="B47" s="8">
        <f t="shared" si="2"/>
        <v>5713.882739387288</v>
      </c>
      <c r="C47" s="8">
        <f t="shared" si="0"/>
        <v>5685.3133256903511</v>
      </c>
      <c r="D47" t="s">
        <v>24</v>
      </c>
      <c r="G47" s="8">
        <f t="shared" si="1"/>
        <v>5685.3133256903511</v>
      </c>
    </row>
    <row r="48" spans="1:7" x14ac:dyDescent="0.25">
      <c r="A48" s="1">
        <v>44044</v>
      </c>
      <c r="B48" s="8">
        <f t="shared" si="2"/>
        <v>5685.3133256903511</v>
      </c>
      <c r="C48" s="8">
        <f t="shared" si="0"/>
        <v>5656.8867590618993</v>
      </c>
      <c r="D48" t="s">
        <v>24</v>
      </c>
      <c r="G48" s="8">
        <f t="shared" si="1"/>
        <v>5656.8867590618993</v>
      </c>
    </row>
    <row r="49" spans="1:7" x14ac:dyDescent="0.25">
      <c r="A49" s="1">
        <v>44075</v>
      </c>
      <c r="B49" s="8">
        <f t="shared" si="2"/>
        <v>5656.8867590618993</v>
      </c>
      <c r="C49" s="8">
        <f t="shared" si="0"/>
        <v>5628.60232526659</v>
      </c>
      <c r="D49" t="s">
        <v>24</v>
      </c>
      <c r="G49" s="8">
        <f t="shared" si="1"/>
        <v>5628.60232526659</v>
      </c>
    </row>
    <row r="50" spans="1:7" x14ac:dyDescent="0.25">
      <c r="A50" s="1">
        <v>44105</v>
      </c>
      <c r="B50" s="8">
        <f t="shared" si="2"/>
        <v>5628.60232526659</v>
      </c>
      <c r="C50" s="8">
        <f t="shared" si="0"/>
        <v>5600.4593136402573</v>
      </c>
      <c r="D50" t="s">
        <v>24</v>
      </c>
      <c r="G50" s="8">
        <f t="shared" si="1"/>
        <v>5600.4593136402573</v>
      </c>
    </row>
    <row r="51" spans="1:7" x14ac:dyDescent="0.25">
      <c r="A51" s="1">
        <v>44136</v>
      </c>
      <c r="B51" s="8">
        <f t="shared" si="2"/>
        <v>5600.4593136402573</v>
      </c>
      <c r="C51" s="8">
        <f t="shared" si="0"/>
        <v>5572.4570170720563</v>
      </c>
      <c r="D51" t="s">
        <v>24</v>
      </c>
      <c r="G51" s="8">
        <f t="shared" si="1"/>
        <v>5572.4570170720563</v>
      </c>
    </row>
    <row r="52" spans="1:7" x14ac:dyDescent="0.25">
      <c r="A52" s="1">
        <v>44166</v>
      </c>
      <c r="B52" s="8">
        <f t="shared" si="2"/>
        <v>5572.4570170720563</v>
      </c>
      <c r="C52" s="8">
        <f t="shared" si="0"/>
        <v>5544.5947319866964</v>
      </c>
      <c r="D52" t="s">
        <v>24</v>
      </c>
      <c r="G52" s="8">
        <f t="shared" si="1"/>
        <v>5544.5947319866964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Estimat</vt:lpstr>
      <vt:lpstr>Oljepris</vt:lpstr>
      <vt:lpstr>Kurdistan</vt:lpstr>
      <vt:lpstr>Oman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Odd-Tore Ovretveit</dc:creator>
  <cp:lastModifiedBy>Odd-Tore Ovretveit</cp:lastModifiedBy>
  <dcterms:created xsi:type="dcterms:W3CDTF">2017-03-28T17:42:36Z</dcterms:created>
  <dcterms:modified xsi:type="dcterms:W3CDTF">2017-09-05T12:53:24Z</dcterms:modified>
</cp:coreProperties>
</file>